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verage Keratometry Calculator " sheetId="1" r:id="rId1"/>
  </sheets>
  <calcPr calcId="144525"/>
</workbook>
</file>

<file path=xl/calcChain.xml><?xml version="1.0" encoding="utf-8"?>
<calcChain xmlns="http://schemas.openxmlformats.org/spreadsheetml/2006/main">
  <c r="T20" i="1" l="1"/>
  <c r="F6" i="1" s="1"/>
  <c r="T15" i="1" l="1"/>
  <c r="U15" i="1" s="1"/>
  <c r="T14" i="1"/>
  <c r="T13" i="1"/>
  <c r="U13" i="1" s="1"/>
  <c r="T12" i="1"/>
  <c r="T11" i="1"/>
  <c r="U11" i="1" s="1"/>
  <c r="T10" i="1"/>
  <c r="U10" i="1" s="1"/>
  <c r="T9" i="1"/>
  <c r="U9" i="1" s="1"/>
  <c r="T8" i="1"/>
  <c r="T7" i="1"/>
  <c r="U7" i="1" s="1"/>
  <c r="T6" i="1"/>
  <c r="T29" i="1"/>
  <c r="F15" i="1" s="1"/>
  <c r="T28" i="1"/>
  <c r="F14" i="1" s="1"/>
  <c r="T27" i="1"/>
  <c r="F13" i="1" s="1"/>
  <c r="T26" i="1"/>
  <c r="F12" i="1" s="1"/>
  <c r="T25" i="1"/>
  <c r="F11" i="1" s="1"/>
  <c r="T24" i="1"/>
  <c r="F10" i="1" s="1"/>
  <c r="T23" i="1"/>
  <c r="F9" i="1" s="1"/>
  <c r="T22" i="1"/>
  <c r="F8" i="1" s="1"/>
  <c r="T21" i="1"/>
  <c r="F7" i="1" s="1"/>
  <c r="U6" i="1" l="1"/>
  <c r="W12" i="1"/>
  <c r="U12" i="1"/>
  <c r="W14" i="1"/>
  <c r="U14" i="1"/>
  <c r="W8" i="1"/>
  <c r="U8" i="1"/>
  <c r="V14" i="1"/>
  <c r="U27" i="1"/>
  <c r="G13" i="1" s="1"/>
  <c r="U22" i="1"/>
  <c r="G8" i="1" s="1"/>
  <c r="V8" i="1"/>
  <c r="V15" i="1"/>
  <c r="W15" i="1"/>
  <c r="U29" i="1"/>
  <c r="G15" i="1" s="1"/>
  <c r="U28" i="1"/>
  <c r="G14" i="1" s="1"/>
  <c r="V12" i="1"/>
  <c r="W13" i="1"/>
  <c r="U26" i="1"/>
  <c r="G12" i="1" s="1"/>
  <c r="V13" i="1"/>
  <c r="V11" i="1"/>
  <c r="U25" i="1"/>
  <c r="G11" i="1" s="1"/>
  <c r="W11" i="1"/>
  <c r="U23" i="1"/>
  <c r="G9" i="1" s="1"/>
  <c r="V9" i="1"/>
  <c r="W9" i="1"/>
  <c r="U24" i="1"/>
  <c r="G10" i="1" s="1"/>
  <c r="V10" i="1"/>
  <c r="W10" i="1"/>
  <c r="U20" i="1"/>
  <c r="G6" i="1" s="1"/>
  <c r="W6" i="1"/>
  <c r="V6" i="1"/>
  <c r="U21" i="1"/>
  <c r="G7" i="1" s="1"/>
  <c r="V7" i="1"/>
  <c r="W7" i="1"/>
  <c r="Y14" i="1" l="1"/>
  <c r="X11" i="1"/>
  <c r="AA13" i="1"/>
  <c r="Y6" i="1"/>
  <c r="U3" i="1"/>
  <c r="AG7" i="1" s="1"/>
  <c r="Y15" i="1"/>
  <c r="X14" i="1"/>
  <c r="Y13" i="1"/>
  <c r="Y12" i="1"/>
  <c r="X13" i="1"/>
  <c r="X9" i="1"/>
  <c r="X15" i="1"/>
  <c r="X8" i="1"/>
  <c r="V16" i="1"/>
  <c r="AE21" i="1" s="1"/>
  <c r="X12" i="1"/>
  <c r="Y11" i="1"/>
  <c r="X10" i="1"/>
  <c r="Y9" i="1"/>
  <c r="Y7" i="1"/>
  <c r="X6" i="1"/>
  <c r="Y10" i="1"/>
  <c r="Y8" i="1"/>
  <c r="V3" i="1"/>
  <c r="AA12" i="1" s="1"/>
  <c r="X7" i="1"/>
  <c r="Y1" i="1" l="1"/>
  <c r="Y3" i="1" s="1"/>
  <c r="AD4" i="1" s="1"/>
  <c r="X3" i="1"/>
  <c r="AD3" i="1" s="1"/>
  <c r="AC27" i="1"/>
  <c r="AD27" i="1" l="1"/>
  <c r="N14" i="1" s="1"/>
  <c r="M14" i="1"/>
  <c r="AD11" i="1"/>
  <c r="AD13" i="1" s="1"/>
  <c r="AD14" i="1" s="1"/>
  <c r="AD5" i="1"/>
  <c r="AD8" i="1"/>
  <c r="AD9" i="1"/>
  <c r="AD7" i="1"/>
  <c r="AD6" i="1"/>
  <c r="AC29" i="1" l="1"/>
  <c r="M16" i="1" s="1"/>
  <c r="AA11" i="1"/>
  <c r="AD10" i="1"/>
  <c r="AD15" i="1" s="1"/>
  <c r="AD16" i="1" s="1"/>
  <c r="AD18" i="1" s="1"/>
  <c r="AG9" i="1" s="1"/>
  <c r="AH11" i="1" s="1"/>
  <c r="AH12" i="1" s="1"/>
  <c r="AC28" i="1"/>
  <c r="AG8" i="1"/>
  <c r="AA14" i="1" l="1"/>
  <c r="AA15" i="1" s="1"/>
  <c r="AC30" i="1" s="1"/>
  <c r="M17" i="1" s="1"/>
  <c r="AD29" i="1"/>
  <c r="N16" i="1" s="1"/>
  <c r="AD28" i="1"/>
  <c r="N15" i="1" s="1"/>
  <c r="M15" i="1"/>
  <c r="AE28" i="1"/>
  <c r="AG12" i="1"/>
  <c r="W24" i="1" s="1"/>
  <c r="AG11" i="1"/>
  <c r="W22" i="1" s="1"/>
  <c r="AD30" i="1" l="1"/>
  <c r="N17" i="1" s="1"/>
  <c r="AF28" i="1"/>
  <c r="P15" i="1" s="1"/>
  <c r="O15" i="1"/>
  <c r="I8" i="1"/>
  <c r="X22" i="1"/>
  <c r="J8" i="1" s="1"/>
  <c r="X24" i="1"/>
  <c r="J10" i="1" s="1"/>
  <c r="I10" i="1"/>
  <c r="Y24" i="1"/>
  <c r="Y22" i="1"/>
  <c r="AB22" i="1" l="1"/>
  <c r="L8" i="1" s="1"/>
  <c r="K8" i="1"/>
  <c r="AB24" i="1"/>
  <c r="L10" i="1" s="1"/>
  <c r="K10" i="1"/>
</calcChain>
</file>

<file path=xl/sharedStrings.xml><?xml version="1.0" encoding="utf-8"?>
<sst xmlns="http://schemas.openxmlformats.org/spreadsheetml/2006/main" count="92" uniqueCount="80">
  <si>
    <t>S. No</t>
  </si>
  <si>
    <t>K1</t>
  </si>
  <si>
    <t>Axis</t>
  </si>
  <si>
    <t>K2</t>
  </si>
  <si>
    <t>Mean Keratometry</t>
  </si>
  <si>
    <t>Concept, Design, Programming</t>
  </si>
  <si>
    <t>In order to accurately calculate average K values from</t>
  </si>
  <si>
    <t xml:space="preserve">a set of K readings, one must average two independent </t>
  </si>
  <si>
    <t>variables and then re-assemble them.</t>
  </si>
  <si>
    <t>Firstly, the mean corneal power for each set of K readings</t>
  </si>
  <si>
    <t>is averaged to generate an overall mean K. This does not</t>
  </si>
  <si>
    <t>contain any astigmatic information.</t>
  </si>
  <si>
    <t>Secondly, the astigmatic component of each set of K</t>
  </si>
  <si>
    <t>readings is averaged using vector approach, as per</t>
  </si>
  <si>
    <t>Holladay. The resultant average astigmatic vector, called</t>
  </si>
  <si>
    <t>the centroid, is thus generated.</t>
  </si>
  <si>
    <t>Finally, the centroid is combined with the average corneal</t>
  </si>
  <si>
    <t>power to arrive at the average K reading.</t>
  </si>
  <si>
    <t>Mean Power</t>
  </si>
  <si>
    <t>Astigmatism</t>
  </si>
  <si>
    <t>Amplitude</t>
  </si>
  <si>
    <t>Filled ?</t>
  </si>
  <si>
    <t>AMNCA</t>
  </si>
  <si>
    <t>mean K</t>
  </si>
  <si>
    <t>x value</t>
  </si>
  <si>
    <t>y value</t>
  </si>
  <si>
    <t>mean x</t>
  </si>
  <si>
    <t>mean y</t>
  </si>
  <si>
    <t>MAGNITUDE</t>
  </si>
  <si>
    <t>x+ y+ (quad1)</t>
  </si>
  <si>
    <t>x- y+ (quad2)</t>
  </si>
  <si>
    <t>x- y- (quad3)</t>
  </si>
  <si>
    <t>x+ y- (quad4)</t>
  </si>
  <si>
    <t>Which quad</t>
  </si>
  <si>
    <t>arctan axis</t>
  </si>
  <si>
    <t>arctan axis +</t>
  </si>
  <si>
    <t>arctan Quad</t>
  </si>
  <si>
    <t>Check Match</t>
  </si>
  <si>
    <t>Final Axis</t>
  </si>
  <si>
    <t>Astigmatism Calculations</t>
  </si>
  <si>
    <t>Reconstitution</t>
  </si>
  <si>
    <t>Mean K</t>
  </si>
  <si>
    <t>Astig</t>
  </si>
  <si>
    <t>ka</t>
  </si>
  <si>
    <t>kb</t>
  </si>
  <si>
    <t>axis</t>
  </si>
  <si>
    <t>D</t>
  </si>
  <si>
    <t>Mean Corneal Power:</t>
  </si>
  <si>
    <t>Mean Astigmatism:</t>
  </si>
  <si>
    <t>Coherence of Mean Astigmatism:</t>
  </si>
  <si>
    <t>Valid Entries</t>
  </si>
  <si>
    <t>valid entries</t>
  </si>
  <si>
    <t>For further information on these two values and astigmatism analysis,</t>
  </si>
  <si>
    <t>Predictive Value Index (PVI):</t>
  </si>
  <si>
    <t>Click here to read about DIO   ↓</t>
  </si>
  <si>
    <t>Click here to purchase the e-book   ↓</t>
  </si>
  <si>
    <t>Using this Calculator is easy and intuitive. Just enter the</t>
  </si>
  <si>
    <t>individual keratometer readings and read off the results !</t>
  </si>
  <si>
    <t>The Theory of it !</t>
  </si>
  <si>
    <t>using manual keratometry and need to average the</t>
  </si>
  <si>
    <t>please note that you will need either the Kindle device</t>
  </si>
  <si>
    <t>or the Kindle App to be able to read this book.</t>
  </si>
  <si>
    <t>PVI =</t>
  </si>
  <si>
    <t>mag (Centroid)</t>
  </si>
  <si>
    <t>AMNCA +SD(AMNCA)</t>
  </si>
  <si>
    <t>amnca =</t>
  </si>
  <si>
    <t>mag(centroid) =</t>
  </si>
  <si>
    <t>SD(amnca) =</t>
  </si>
  <si>
    <t xml:space="preserve"> Astigmatism</t>
  </si>
  <si>
    <t xml:space="preserve"> Mean Keratometry</t>
  </si>
  <si>
    <r>
      <rPr>
        <sz val="8"/>
        <color rgb="FFFFFF00"/>
        <rFont val="Calibri"/>
        <family val="2"/>
      </rPr>
      <t xml:space="preserve">© 2016 </t>
    </r>
    <r>
      <rPr>
        <sz val="8"/>
        <color rgb="FFFFFF00"/>
        <rFont val="Calibri"/>
        <family val="2"/>
        <scheme val="minor"/>
      </rPr>
      <t>Dr. Saurabh Sawhney, Dr. Aashima Aggarwal</t>
    </r>
  </si>
  <si>
    <t>Supports upto 10 readings. A must-have tool if you are</t>
  </si>
  <si>
    <t>values properly for toric intraocular lens implantation.</t>
  </si>
  <si>
    <r>
      <t xml:space="preserve">The Calculator also determines the </t>
    </r>
    <r>
      <rPr>
        <b/>
        <sz val="9"/>
        <rFont val="Arial"/>
        <family val="2"/>
      </rPr>
      <t>Coherence</t>
    </r>
    <r>
      <rPr>
        <sz val="9"/>
        <rFont val="Arial"/>
        <family val="2"/>
      </rPr>
      <t xml:space="preserve"> and </t>
    </r>
    <r>
      <rPr>
        <b/>
        <sz val="9"/>
        <rFont val="Arial"/>
        <family val="2"/>
      </rPr>
      <t>Predictive</t>
    </r>
  </si>
  <si>
    <r>
      <rPr>
        <b/>
        <sz val="9"/>
        <rFont val="Arial"/>
        <family val="2"/>
      </rPr>
      <t>Value Index (PVI)</t>
    </r>
    <r>
      <rPr>
        <sz val="9"/>
        <rFont val="Arial"/>
        <family val="2"/>
      </rPr>
      <t xml:space="preserve"> of the data set, which quantify the homogeneity</t>
    </r>
  </si>
  <si>
    <t>of the set in terms of astigmatism.</t>
  </si>
  <si>
    <r>
      <t xml:space="preserve">The more the </t>
    </r>
    <r>
      <rPr>
        <b/>
        <sz val="9"/>
        <rFont val="Arial"/>
        <family val="2"/>
      </rPr>
      <t>Coherence</t>
    </r>
    <r>
      <rPr>
        <sz val="9"/>
        <rFont val="Arial"/>
        <family val="2"/>
      </rPr>
      <t>, the better the alignment of the astigmatic</t>
    </r>
  </si>
  <si>
    <r>
      <t xml:space="preserve">vectors. Higher </t>
    </r>
    <r>
      <rPr>
        <b/>
        <sz val="9"/>
        <rFont val="Arial"/>
        <family val="2"/>
      </rPr>
      <t>PVI</t>
    </r>
    <r>
      <rPr>
        <sz val="9"/>
        <rFont val="Arial"/>
        <family val="2"/>
      </rPr>
      <t xml:space="preserve"> indicates more clustering on a doubled angle plot.</t>
    </r>
  </si>
  <si>
    <t>we recommend the e-book "SIA Analysis", available through Amazon.</t>
  </si>
  <si>
    <t>Software release version 1.1.2016.06.14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</si>
</sst>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8"/>
      <color rgb="FFFF339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4"/>
      <color rgb="FFFFFF00"/>
      <name val="Calibri"/>
      <family val="2"/>
      <scheme val="minor"/>
    </font>
    <font>
      <u/>
      <sz val="10"/>
      <color rgb="FFFFFF00"/>
      <name val="Calibri"/>
      <family val="2"/>
      <scheme val="minor"/>
    </font>
    <font>
      <sz val="12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FFFF00"/>
      <name val="Calibri"/>
      <family val="2"/>
      <scheme val="minor"/>
    </font>
    <font>
      <u/>
      <sz val="11"/>
      <color rgb="FFFFFF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9"/>
      <color theme="2" tint="-0.74999237037263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2"/>
      <color theme="4" tint="0.79998168889431442"/>
      <name val="Calibri"/>
      <family val="2"/>
      <scheme val="minor"/>
    </font>
    <font>
      <sz val="20"/>
      <color theme="4" tint="0.79998168889431442"/>
      <name val="Calibri"/>
      <family val="2"/>
      <scheme val="minor"/>
    </font>
    <font>
      <i/>
      <sz val="10"/>
      <color theme="4" tint="0.79998168889431442"/>
      <name val="Calibri"/>
      <family val="2"/>
      <scheme val="minor"/>
    </font>
    <font>
      <sz val="9"/>
      <color theme="3" tint="0.79998168889431442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sz val="11"/>
      <color rgb="FFFFCC00"/>
      <name val="Calibri"/>
      <family val="2"/>
    </font>
    <font>
      <b/>
      <sz val="11"/>
      <color theme="4" tint="-0.499984740745262"/>
      <name val="Calibri"/>
      <family val="2"/>
      <scheme val="minor"/>
    </font>
    <font>
      <b/>
      <sz val="9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8"/>
      <color rgb="FFFFC00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u/>
      <sz val="10"/>
      <color theme="3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4" tint="0.39997558519241921"/>
      <name val="Calibri"/>
      <family val="2"/>
      <scheme val="minor"/>
    </font>
    <font>
      <sz val="8"/>
      <color rgb="FFFFFF00"/>
      <name val="Calibri"/>
      <family val="2"/>
    </font>
    <font>
      <b/>
      <sz val="9"/>
      <name val="Arial"/>
      <family val="2"/>
    </font>
    <font>
      <sz val="11"/>
      <color theme="4" tint="-0.499984740745262"/>
      <name val="Calibri"/>
      <family val="2"/>
      <scheme val="minor"/>
    </font>
    <font>
      <sz val="11"/>
      <color theme="4" tint="-0.499984740745262"/>
      <name val="Arial"/>
      <family val="2"/>
    </font>
    <font>
      <i/>
      <sz val="9"/>
      <color theme="3" tint="0.7999816888943144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theme="9" tint="0.39994506668294322"/>
      </left>
      <right/>
      <top style="medium">
        <color theme="9" tint="0.39994506668294322"/>
      </top>
      <bottom/>
      <diagonal/>
    </border>
    <border>
      <left/>
      <right/>
      <top style="medium">
        <color theme="9" tint="0.39994506668294322"/>
      </top>
      <bottom/>
      <diagonal/>
    </border>
    <border>
      <left/>
      <right style="medium">
        <color theme="9" tint="0.39994506668294322"/>
      </right>
      <top style="medium">
        <color theme="9" tint="0.39994506668294322"/>
      </top>
      <bottom/>
      <diagonal/>
    </border>
    <border>
      <left style="medium">
        <color theme="9" tint="0.39994506668294322"/>
      </left>
      <right/>
      <top/>
      <bottom/>
      <diagonal/>
    </border>
    <border>
      <left/>
      <right style="medium">
        <color theme="9" tint="0.39994506668294322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slantDashDot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2" fontId="2" fillId="4" borderId="6" xfId="0" applyNumberFormat="1" applyFont="1" applyFill="1" applyBorder="1" applyAlignment="1" applyProtection="1">
      <alignment horizontal="center"/>
      <protection locked="0"/>
    </xf>
    <xf numFmtId="1" fontId="2" fillId="4" borderId="6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Protection="1"/>
    <xf numFmtId="0" fontId="6" fillId="3" borderId="0" xfId="0" applyFont="1" applyFill="1" applyProtection="1"/>
    <xf numFmtId="0" fontId="5" fillId="3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3" fillId="8" borderId="0" xfId="0" applyFont="1" applyFill="1" applyProtection="1"/>
    <xf numFmtId="0" fontId="0" fillId="6" borderId="0" xfId="0" applyFont="1" applyFill="1" applyAlignment="1" applyProtection="1">
      <alignment horizontal="center"/>
    </xf>
    <xf numFmtId="0" fontId="0" fillId="6" borderId="0" xfId="0" applyFont="1" applyFill="1" applyProtection="1"/>
    <xf numFmtId="0" fontId="0" fillId="5" borderId="0" xfId="0" applyFill="1" applyProtection="1"/>
    <xf numFmtId="0" fontId="0" fillId="8" borderId="0" xfId="0" applyFill="1" applyProtection="1"/>
    <xf numFmtId="0" fontId="0" fillId="6" borderId="0" xfId="0" applyFill="1" applyAlignment="1" applyProtection="1">
      <alignment horizontal="center"/>
    </xf>
    <xf numFmtId="0" fontId="0" fillId="6" borderId="0" xfId="0" applyFill="1" applyProtection="1"/>
    <xf numFmtId="0" fontId="1" fillId="5" borderId="0" xfId="0" applyFont="1" applyFill="1" applyProtection="1"/>
    <xf numFmtId="0" fontId="9" fillId="3" borderId="0" xfId="0" applyFont="1" applyFill="1" applyProtection="1"/>
    <xf numFmtId="0" fontId="10" fillId="3" borderId="0" xfId="0" applyFont="1" applyFill="1" applyProtection="1"/>
    <xf numFmtId="0" fontId="8" fillId="3" borderId="0" xfId="0" applyFont="1" applyFill="1" applyProtection="1"/>
    <xf numFmtId="0" fontId="9" fillId="8" borderId="0" xfId="0" applyFont="1" applyFill="1" applyProtection="1"/>
    <xf numFmtId="0" fontId="9" fillId="6" borderId="0" xfId="0" applyFont="1" applyFill="1" applyAlignment="1" applyProtection="1">
      <alignment horizontal="center"/>
    </xf>
    <xf numFmtId="0" fontId="1" fillId="6" borderId="7" xfId="0" applyFont="1" applyFill="1" applyBorder="1" applyProtection="1"/>
    <xf numFmtId="0" fontId="9" fillId="6" borderId="0" xfId="0" applyFont="1" applyFill="1" applyProtection="1"/>
    <xf numFmtId="0" fontId="1" fillId="6" borderId="0" xfId="0" applyFont="1" applyFill="1" applyBorder="1" applyProtection="1"/>
    <xf numFmtId="0" fontId="16" fillId="5" borderId="0" xfId="0" applyFont="1" applyFill="1" applyProtection="1"/>
    <xf numFmtId="0" fontId="11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" fillId="6" borderId="0" xfId="0" applyFont="1" applyFill="1" applyAlignment="1" applyProtection="1">
      <alignment horizontal="center"/>
    </xf>
    <xf numFmtId="0" fontId="12" fillId="3" borderId="0" xfId="0" applyFont="1" applyFill="1" applyProtection="1"/>
    <xf numFmtId="0" fontId="12" fillId="3" borderId="0" xfId="0" applyFont="1" applyFill="1" applyAlignment="1" applyProtection="1">
      <alignment horizontal="center"/>
    </xf>
    <xf numFmtId="0" fontId="12" fillId="8" borderId="0" xfId="0" applyFont="1" applyFill="1" applyProtection="1"/>
    <xf numFmtId="0" fontId="3" fillId="4" borderId="6" xfId="0" applyFont="1" applyFill="1" applyBorder="1" applyAlignment="1" applyProtection="1">
      <alignment horizontal="center"/>
    </xf>
    <xf numFmtId="1" fontId="14" fillId="2" borderId="6" xfId="0" applyNumberFormat="1" applyFont="1" applyFill="1" applyBorder="1" applyAlignment="1" applyProtection="1">
      <alignment horizontal="center"/>
    </xf>
    <xf numFmtId="0" fontId="15" fillId="3" borderId="1" xfId="0" applyFont="1" applyFill="1" applyBorder="1" applyProtection="1"/>
    <xf numFmtId="0" fontId="3" fillId="3" borderId="2" xfId="0" applyFont="1" applyFill="1" applyBorder="1" applyProtection="1"/>
    <xf numFmtId="0" fontId="3" fillId="3" borderId="3" xfId="0" applyFont="1" applyFill="1" applyBorder="1" applyProtection="1"/>
    <xf numFmtId="0" fontId="12" fillId="3" borderId="0" xfId="0" applyFont="1" applyFill="1" applyBorder="1" applyProtection="1"/>
    <xf numFmtId="0" fontId="17" fillId="3" borderId="0" xfId="0" applyFont="1" applyFill="1" applyBorder="1" applyProtection="1"/>
    <xf numFmtId="0" fontId="0" fillId="7" borderId="0" xfId="0" applyFont="1" applyFill="1" applyAlignment="1" applyProtection="1">
      <alignment horizontal="center"/>
    </xf>
    <xf numFmtId="2" fontId="0" fillId="7" borderId="0" xfId="0" applyNumberFormat="1" applyFont="1" applyFill="1" applyProtection="1"/>
    <xf numFmtId="0" fontId="0" fillId="0" borderId="0" xfId="0" applyFont="1" applyFill="1" applyProtection="1"/>
    <xf numFmtId="0" fontId="3" fillId="3" borderId="4" xfId="0" applyFont="1" applyFill="1" applyBorder="1" applyProtection="1"/>
    <xf numFmtId="0" fontId="3" fillId="3" borderId="0" xfId="0" applyFont="1" applyFill="1" applyBorder="1" applyProtection="1"/>
    <xf numFmtId="0" fontId="3" fillId="3" borderId="5" xfId="0" applyFont="1" applyFill="1" applyBorder="1" applyProtection="1"/>
    <xf numFmtId="0" fontId="19" fillId="3" borderId="0" xfId="0" applyFont="1" applyFill="1" applyBorder="1" applyAlignment="1" applyProtection="1">
      <alignment vertical="center"/>
    </xf>
    <xf numFmtId="0" fontId="0" fillId="0" borderId="0" xfId="0" applyFill="1" applyProtection="1"/>
    <xf numFmtId="2" fontId="3" fillId="3" borderId="0" xfId="0" applyNumberFormat="1" applyFont="1" applyFill="1" applyBorder="1" applyAlignment="1" applyProtection="1">
      <alignment horizontal="right"/>
    </xf>
    <xf numFmtId="1" fontId="3" fillId="3" borderId="0" xfId="0" applyNumberFormat="1" applyFont="1" applyFill="1" applyBorder="1" applyAlignment="1" applyProtection="1">
      <alignment horizontal="center"/>
    </xf>
    <xf numFmtId="2" fontId="3" fillId="3" borderId="0" xfId="0" applyNumberFormat="1" applyFont="1" applyFill="1" applyBorder="1" applyAlignment="1" applyProtection="1">
      <alignment horizontal="left"/>
    </xf>
    <xf numFmtId="0" fontId="30" fillId="10" borderId="8" xfId="0" applyFont="1" applyFill="1" applyBorder="1" applyProtection="1"/>
    <xf numFmtId="0" fontId="0" fillId="10" borderId="10" xfId="0" applyFill="1" applyBorder="1" applyProtection="1"/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left"/>
    </xf>
    <xf numFmtId="0" fontId="0" fillId="10" borderId="11" xfId="0" applyFont="1" applyFill="1" applyBorder="1" applyProtection="1"/>
    <xf numFmtId="0" fontId="31" fillId="10" borderId="12" xfId="0" applyFont="1" applyFill="1" applyBorder="1" applyAlignment="1" applyProtection="1">
      <alignment horizontal="right"/>
    </xf>
    <xf numFmtId="0" fontId="30" fillId="10" borderId="12" xfId="0" applyFont="1" applyFill="1" applyBorder="1" applyAlignment="1" applyProtection="1">
      <alignment horizontal="right"/>
    </xf>
    <xf numFmtId="0" fontId="0" fillId="5" borderId="8" xfId="0" applyFont="1" applyFill="1" applyBorder="1" applyProtection="1"/>
    <xf numFmtId="0" fontId="0" fillId="5" borderId="9" xfId="0" applyFill="1" applyBorder="1" applyProtection="1"/>
    <xf numFmtId="0" fontId="0" fillId="5" borderId="10" xfId="0" applyFill="1" applyBorder="1" applyProtection="1"/>
    <xf numFmtId="0" fontId="7" fillId="3" borderId="4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2" fontId="13" fillId="3" borderId="0" xfId="0" applyNumberFormat="1" applyFont="1" applyFill="1" applyBorder="1" applyProtection="1"/>
    <xf numFmtId="0" fontId="32" fillId="10" borderId="11" xfId="0" applyFont="1" applyFill="1" applyBorder="1" applyProtection="1"/>
    <xf numFmtId="0" fontId="32" fillId="10" borderId="12" xfId="0" applyFont="1" applyFill="1" applyBorder="1" applyProtection="1"/>
    <xf numFmtId="0" fontId="0" fillId="5" borderId="11" xfId="0" applyFill="1" applyBorder="1" applyProtection="1"/>
    <xf numFmtId="0" fontId="0" fillId="5" borderId="0" xfId="0" applyFont="1" applyFill="1" applyBorder="1" applyProtection="1"/>
    <xf numFmtId="0" fontId="0" fillId="5" borderId="12" xfId="0" applyFont="1" applyFill="1" applyBorder="1" applyProtection="1"/>
    <xf numFmtId="0" fontId="0" fillId="5" borderId="13" xfId="0" applyFill="1" applyBorder="1" applyProtection="1"/>
    <xf numFmtId="0" fontId="0" fillId="5" borderId="14" xfId="0" applyFont="1" applyFill="1" applyBorder="1" applyProtection="1"/>
    <xf numFmtId="0" fontId="0" fillId="5" borderId="15" xfId="0" applyFont="1" applyFill="1" applyBorder="1" applyProtection="1"/>
    <xf numFmtId="0" fontId="34" fillId="3" borderId="0" xfId="0" applyFont="1" applyFill="1" applyProtection="1"/>
    <xf numFmtId="0" fontId="5" fillId="3" borderId="0" xfId="0" applyFont="1" applyFill="1" applyBorder="1" applyProtection="1"/>
    <xf numFmtId="0" fontId="17" fillId="3" borderId="0" xfId="0" applyFont="1" applyFill="1" applyAlignment="1" applyProtection="1">
      <alignment horizontal="right"/>
    </xf>
    <xf numFmtId="2" fontId="18" fillId="3" borderId="0" xfId="0" applyNumberFormat="1" applyFont="1" applyFill="1" applyAlignment="1" applyProtection="1">
      <alignment horizontal="right"/>
    </xf>
    <xf numFmtId="2" fontId="17" fillId="3" borderId="0" xfId="0" applyNumberFormat="1" applyFont="1" applyFill="1" applyAlignment="1" applyProtection="1">
      <alignment horizontal="left"/>
    </xf>
    <xf numFmtId="0" fontId="17" fillId="3" borderId="0" xfId="0" applyFont="1" applyFill="1" applyProtection="1"/>
    <xf numFmtId="10" fontId="32" fillId="10" borderId="12" xfId="0" applyNumberFormat="1" applyFont="1" applyFill="1" applyBorder="1" applyProtection="1"/>
    <xf numFmtId="1" fontId="18" fillId="3" borderId="0" xfId="0" applyNumberFormat="1" applyFont="1" applyFill="1" applyAlignment="1" applyProtection="1">
      <alignment horizontal="left"/>
    </xf>
    <xf numFmtId="0" fontId="33" fillId="10" borderId="13" xfId="0" applyFont="1" applyFill="1" applyBorder="1" applyProtection="1"/>
    <xf numFmtId="2" fontId="33" fillId="10" borderId="15" xfId="0" applyNumberFormat="1" applyFont="1" applyFill="1" applyBorder="1" applyProtection="1"/>
    <xf numFmtId="0" fontId="20" fillId="3" borderId="0" xfId="0" applyFont="1" applyFill="1" applyProtection="1"/>
    <xf numFmtId="164" fontId="18" fillId="3" borderId="0" xfId="0" applyNumberFormat="1" applyFont="1" applyFill="1" applyAlignment="1" applyProtection="1">
      <alignment horizontal="right"/>
    </xf>
    <xf numFmtId="164" fontId="17" fillId="3" borderId="0" xfId="0" applyNumberFormat="1" applyFont="1" applyFill="1" applyAlignment="1" applyProtection="1">
      <alignment horizontal="left"/>
    </xf>
    <xf numFmtId="0" fontId="1" fillId="6" borderId="0" xfId="0" applyFont="1" applyFill="1" applyProtection="1"/>
    <xf numFmtId="0" fontId="0" fillId="9" borderId="0" xfId="0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9" borderId="0" xfId="0" applyFill="1" applyProtection="1"/>
    <xf numFmtId="0" fontId="0" fillId="8" borderId="0" xfId="0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2" fontId="3" fillId="3" borderId="0" xfId="0" applyNumberFormat="1" applyFont="1" applyFill="1" applyBorder="1" applyProtection="1"/>
    <xf numFmtId="164" fontId="3" fillId="3" borderId="0" xfId="0" applyNumberFormat="1" applyFont="1" applyFill="1" applyBorder="1" applyProtection="1"/>
    <xf numFmtId="2" fontId="18" fillId="3" borderId="0" xfId="0" applyNumberFormat="1" applyFont="1" applyFill="1" applyAlignment="1" applyProtection="1">
      <alignment horizontal="left"/>
    </xf>
    <xf numFmtId="1" fontId="18" fillId="3" borderId="0" xfId="0" applyNumberFormat="1" applyFont="1" applyFill="1" applyProtection="1"/>
    <xf numFmtId="164" fontId="18" fillId="3" borderId="0" xfId="0" applyNumberFormat="1" applyFont="1" applyFill="1" applyAlignment="1" applyProtection="1">
      <alignment horizontal="left"/>
    </xf>
    <xf numFmtId="0" fontId="0" fillId="3" borderId="0" xfId="0" applyFill="1" applyAlignment="1" applyProtection="1">
      <alignment horizontal="center" vertical="center"/>
    </xf>
    <xf numFmtId="0" fontId="0" fillId="9" borderId="0" xfId="0" applyFill="1" applyAlignment="1" applyProtection="1">
      <alignment horizontal="center" vertical="center"/>
    </xf>
    <xf numFmtId="0" fontId="0" fillId="9" borderId="0" xfId="0" applyFill="1" applyAlignment="1" applyProtection="1">
      <alignment vertical="center"/>
    </xf>
    <xf numFmtId="0" fontId="0" fillId="8" borderId="0" xfId="0" applyFill="1" applyAlignment="1" applyProtection="1">
      <alignment horizontal="center"/>
    </xf>
    <xf numFmtId="0" fontId="3" fillId="11" borderId="0" xfId="0" applyFont="1" applyFill="1" applyAlignment="1" applyProtection="1">
      <alignment vertical="center"/>
    </xf>
    <xf numFmtId="0" fontId="22" fillId="11" borderId="0" xfId="0" applyFont="1" applyFill="1" applyAlignment="1" applyProtection="1">
      <alignment vertical="center"/>
    </xf>
    <xf numFmtId="0" fontId="0" fillId="11" borderId="0" xfId="0" applyFill="1" applyAlignment="1" applyProtection="1">
      <alignment vertical="center"/>
    </xf>
    <xf numFmtId="0" fontId="26" fillId="11" borderId="0" xfId="0" applyFont="1" applyFill="1" applyAlignment="1" applyProtection="1">
      <alignment vertical="center"/>
    </xf>
    <xf numFmtId="0" fontId="9" fillId="11" borderId="0" xfId="0" applyFont="1" applyFill="1" applyAlignment="1" applyProtection="1">
      <alignment vertical="center"/>
    </xf>
    <xf numFmtId="0" fontId="27" fillId="11" borderId="0" xfId="0" applyFont="1" applyFill="1" applyAlignment="1" applyProtection="1">
      <alignment vertical="center"/>
    </xf>
    <xf numFmtId="0" fontId="27" fillId="11" borderId="16" xfId="0" applyFont="1" applyFill="1" applyBorder="1" applyAlignment="1" applyProtection="1">
      <alignment vertical="center"/>
    </xf>
    <xf numFmtId="0" fontId="28" fillId="11" borderId="16" xfId="0" applyFont="1" applyFill="1" applyBorder="1" applyAlignment="1" applyProtection="1">
      <alignment vertical="center"/>
    </xf>
    <xf numFmtId="0" fontId="12" fillId="11" borderId="0" xfId="0" applyFont="1" applyFill="1" applyAlignment="1" applyProtection="1">
      <alignment vertical="center"/>
    </xf>
    <xf numFmtId="0" fontId="23" fillId="11" borderId="0" xfId="0" applyFont="1" applyFill="1" applyAlignment="1" applyProtection="1">
      <alignment vertical="center"/>
    </xf>
    <xf numFmtId="0" fontId="37" fillId="11" borderId="0" xfId="0" applyFont="1" applyFill="1" applyAlignment="1" applyProtection="1">
      <alignment vertical="center"/>
    </xf>
    <xf numFmtId="0" fontId="38" fillId="11" borderId="0" xfId="0" applyFont="1" applyFill="1" applyAlignment="1" applyProtection="1">
      <alignment vertical="center"/>
    </xf>
    <xf numFmtId="0" fontId="39" fillId="3" borderId="0" xfId="0" applyFont="1" applyFill="1" applyProtection="1"/>
    <xf numFmtId="0" fontId="29" fillId="3" borderId="0" xfId="0" applyFont="1" applyFill="1" applyAlignment="1" applyProtection="1">
      <alignment horizontal="center"/>
    </xf>
    <xf numFmtId="0" fontId="29" fillId="3" borderId="0" xfId="0" applyFont="1" applyFill="1" applyAlignment="1" applyProtection="1">
      <alignment horizontal="center" vertical="top"/>
    </xf>
    <xf numFmtId="0" fontId="19" fillId="3" borderId="0" xfId="0" applyFont="1" applyFill="1" applyBorder="1" applyAlignment="1" applyProtection="1">
      <alignment horizontal="center" vertical="center"/>
    </xf>
    <xf numFmtId="0" fontId="25" fillId="3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image" Target="../media/image2.jpeg"/><Relationship Id="rId7" Type="http://schemas.openxmlformats.org/officeDocument/2006/relationships/image" Target="../media/image4.jpeg"/><Relationship Id="rId2" Type="http://schemas.openxmlformats.org/officeDocument/2006/relationships/image" Target="../media/image1.jpeg"/><Relationship Id="rId1" Type="http://schemas.openxmlformats.org/officeDocument/2006/relationships/hyperlink" Target="https://www.facebook.com/notes/ophthalmic-calculators/dio-an-introduction/865111346881335" TargetMode="External"/><Relationship Id="rId6" Type="http://schemas.openxmlformats.org/officeDocument/2006/relationships/hyperlink" Target="http://www.facebook.com/OphthalmicCalculators" TargetMode="External"/><Relationship Id="rId5" Type="http://schemas.openxmlformats.org/officeDocument/2006/relationships/image" Target="../media/image3.jpeg"/><Relationship Id="rId4" Type="http://schemas.openxmlformats.org/officeDocument/2006/relationships/hyperlink" Target="http://www.amazon.com/dp/B00YJL52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148590</xdr:rowOff>
    </xdr:from>
    <xdr:ext cx="2907030" cy="640368"/>
    <xdr:sp macro="" textlink="">
      <xdr:nvSpPr>
        <xdr:cNvPr id="6" name="Rectangle 5"/>
        <xdr:cNvSpPr/>
      </xdr:nvSpPr>
      <xdr:spPr>
        <a:xfrm>
          <a:off x="110490" y="148590"/>
          <a:ext cx="2907030" cy="640368"/>
        </a:xfrm>
        <a:prstGeom prst="rect">
          <a:avLst/>
        </a:prstGeom>
        <a:gradFill flip="none" rotWithShape="1">
          <a:gsLst>
            <a:gs pos="0">
              <a:schemeClr val="accent1">
                <a:lumMod val="75000"/>
              </a:schemeClr>
            </a:gs>
            <a:gs pos="50000">
              <a:schemeClr val="tx2">
                <a:lumMod val="75000"/>
              </a:schemeClr>
            </a:gs>
            <a:gs pos="100000">
              <a:schemeClr val="tx1"/>
            </a:gs>
          </a:gsLst>
          <a:lin ang="2700000" scaled="1"/>
          <a:tileRect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n-US" sz="1600" b="0" kern="1200" cap="none" spc="10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ndalus" pitchFamily="18" charset="-78"/>
              <a:cs typeface="Andalus" pitchFamily="18" charset="-78"/>
            </a:rPr>
            <a:t>Average keratometry</a:t>
          </a:r>
        </a:p>
        <a:p>
          <a:pPr algn="ctr"/>
          <a:r>
            <a:rPr lang="en-US" sz="1200" b="0" kern="1200" cap="none" spc="10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ndalus" pitchFamily="18" charset="-78"/>
              <a:cs typeface="Andalus" pitchFamily="18" charset="-78"/>
            </a:rPr>
            <a:t>calculator  V 1.1</a:t>
          </a:r>
        </a:p>
      </xdr:txBody>
    </xdr:sp>
    <xdr:clientData/>
  </xdr:oneCellAnchor>
  <xdr:twoCellAnchor>
    <xdr:from>
      <xdr:col>11</xdr:col>
      <xdr:colOff>323419</xdr:colOff>
      <xdr:row>20</xdr:row>
      <xdr:rowOff>15240</xdr:rowOff>
    </xdr:from>
    <xdr:to>
      <xdr:col>17</xdr:col>
      <xdr:colOff>31354</xdr:colOff>
      <xdr:row>30</xdr:row>
      <xdr:rowOff>22860</xdr:rowOff>
    </xdr:to>
    <xdr:grpSp>
      <xdr:nvGrpSpPr>
        <xdr:cNvPr id="13" name="Group 12"/>
        <xdr:cNvGrpSpPr/>
      </xdr:nvGrpSpPr>
      <xdr:grpSpPr>
        <a:xfrm>
          <a:off x="4733494" y="3901440"/>
          <a:ext cx="2136810" cy="2103120"/>
          <a:chOff x="4396740" y="3703320"/>
          <a:chExt cx="1661561" cy="1611823"/>
        </a:xfrm>
      </xdr:grpSpPr>
      <xdr:pic>
        <xdr:nvPicPr>
          <xdr:cNvPr id="4" name="Picture 3" descr="Tagline.jpg">
            <a:hlinkClick xmlns:r="http://schemas.openxmlformats.org/officeDocument/2006/relationships" r:id="rId1" tooltip="Read about Dynamic IOL Optimization - the easiest way to improve your IOL power calculations."/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4397966" y="4676656"/>
            <a:ext cx="1659109" cy="638487"/>
          </a:xfrm>
          <a:prstGeom prst="rect">
            <a:avLst/>
          </a:prstGeom>
        </xdr:spPr>
      </xdr:pic>
      <xdr:pic>
        <xdr:nvPicPr>
          <xdr:cNvPr id="5" name="Picture 4" descr="DIO Logo (3).jpg">
            <a:hlinkClick xmlns:r="http://schemas.openxmlformats.org/officeDocument/2006/relationships" r:id="rId1" tooltip="Read about Dynamic IOL Optimization - the easiest way to improve your IOL power calculations."/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4396740" y="3703320"/>
            <a:ext cx="1661561" cy="973338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345348</xdr:colOff>
      <xdr:row>36</xdr:row>
      <xdr:rowOff>3922</xdr:rowOff>
    </xdr:from>
    <xdr:to>
      <xdr:col>17</xdr:col>
      <xdr:colOff>31354</xdr:colOff>
      <xdr:row>50</xdr:row>
      <xdr:rowOff>91439</xdr:rowOff>
    </xdr:to>
    <xdr:pic>
      <xdr:nvPicPr>
        <xdr:cNvPr id="9" name="Picture 3">
          <a:hlinkClick xmlns:r="http://schemas.openxmlformats.org/officeDocument/2006/relationships" r:id="rId4" tooltip="Available exclusively as an e-book for Kindle or Kindle App.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/>
      </xdr:blipFill>
      <xdr:spPr>
        <a:xfrm>
          <a:off x="4361088" y="6458062"/>
          <a:ext cx="2185366" cy="28916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13</xdr:col>
      <xdr:colOff>318174</xdr:colOff>
      <xdr:row>4</xdr:row>
      <xdr:rowOff>188666</xdr:rowOff>
    </xdr:from>
    <xdr:to>
      <xdr:col>16</xdr:col>
      <xdr:colOff>266700</xdr:colOff>
      <xdr:row>11</xdr:row>
      <xdr:rowOff>4853</xdr:rowOff>
    </xdr:to>
    <xdr:pic>
      <xdr:nvPicPr>
        <xdr:cNvPr id="10" name="Picture 9" descr="SA Ophthalmic Calculators.jpg">
          <a:hlinkClick xmlns:r="http://schemas.openxmlformats.org/officeDocument/2006/relationships" r:id="rId6" tooltip="Click to visit Ophthalmic Calculators on Facebook.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227492" y="1016188"/>
          <a:ext cx="1183743" cy="1158181"/>
        </a:xfrm>
        <a:prstGeom prst="roundRect">
          <a:avLst>
            <a:gd name="adj" fmla="val 8667"/>
          </a:avLst>
        </a:prstGeom>
        <a:ln>
          <a:noFill/>
        </a:ln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15</xdr:col>
      <xdr:colOff>68580</xdr:colOff>
      <xdr:row>1</xdr:row>
      <xdr:rowOff>7620</xdr:rowOff>
    </xdr:from>
    <xdr:to>
      <xdr:col>16</xdr:col>
      <xdr:colOff>266700</xdr:colOff>
      <xdr:row>4</xdr:row>
      <xdr:rowOff>15240</xdr:rowOff>
    </xdr:to>
    <xdr:pic>
      <xdr:nvPicPr>
        <xdr:cNvPr id="12" name="Picture 11" descr="Member Club Geekophthalmos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821680" y="259080"/>
          <a:ext cx="579120" cy="579120"/>
        </a:xfrm>
        <a:prstGeom prst="roundRect">
          <a:avLst>
            <a:gd name="adj" fmla="val 8667"/>
          </a:avLst>
        </a:prstGeom>
        <a:ln>
          <a:noFill/>
        </a:ln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11</xdr:col>
      <xdr:colOff>91440</xdr:colOff>
      <xdr:row>18</xdr:row>
      <xdr:rowOff>0</xdr:rowOff>
    </xdr:from>
    <xdr:to>
      <xdr:col>17</xdr:col>
      <xdr:colOff>297180</xdr:colOff>
      <xdr:row>52</xdr:row>
      <xdr:rowOff>175260</xdr:rowOff>
    </xdr:to>
    <xdr:sp macro="" textlink="">
      <xdr:nvSpPr>
        <xdr:cNvPr id="14" name="Rounded Rectangle 13"/>
        <xdr:cNvSpPr/>
      </xdr:nvSpPr>
      <xdr:spPr>
        <a:xfrm>
          <a:off x="4107180" y="3482340"/>
          <a:ext cx="2705100" cy="7185660"/>
        </a:xfrm>
        <a:prstGeom prst="roundRect">
          <a:avLst>
            <a:gd name="adj" fmla="val 4836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314325</xdr:colOff>
      <xdr:row>11</xdr:row>
      <xdr:rowOff>99060</xdr:rowOff>
    </xdr:from>
    <xdr:to>
      <xdr:col>17</xdr:col>
      <xdr:colOff>289560</xdr:colOff>
      <xdr:row>17</xdr:row>
      <xdr:rowOff>91440</xdr:rowOff>
    </xdr:to>
    <xdr:sp macro="" textlink="">
      <xdr:nvSpPr>
        <xdr:cNvPr id="11" name="Rounded Rectangle 10"/>
        <xdr:cNvSpPr/>
      </xdr:nvSpPr>
      <xdr:spPr>
        <a:xfrm>
          <a:off x="2800350" y="2251710"/>
          <a:ext cx="4328160" cy="1135380"/>
        </a:xfrm>
        <a:prstGeom prst="roundRect">
          <a:avLst>
            <a:gd name="adj" fmla="val 68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mazon.in/dp/B00YJL52NG" TargetMode="External"/><Relationship Id="rId1" Type="http://schemas.openxmlformats.org/officeDocument/2006/relationships/hyperlink" Target="https://www.facebook.com/notes/ophthalmic-calculators/dio-an-introduction/86511134688133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abSelected="1" workbookViewId="0">
      <selection activeCell="C6" sqref="C6"/>
    </sheetView>
  </sheetViews>
  <sheetFormatPr defaultColWidth="0" defaultRowHeight="15" zeroHeight="1" x14ac:dyDescent="0.25"/>
  <cols>
    <col min="1" max="1" width="1.28515625" style="7" customWidth="1"/>
    <col min="2" max="2" width="6.28515625" style="7" customWidth="1"/>
    <col min="3" max="6" width="7.42578125" style="7" customWidth="1"/>
    <col min="7" max="7" width="4.85546875" style="7" customWidth="1"/>
    <col min="8" max="12" width="6" style="7" customWidth="1"/>
    <col min="13" max="13" width="6.85546875" style="7" customWidth="1"/>
    <col min="14" max="14" width="5.5703125" style="7" customWidth="1"/>
    <col min="15" max="15" width="6.85546875" style="7" customWidth="1"/>
    <col min="16" max="18" width="5.5703125" style="7" customWidth="1"/>
    <col min="19" max="19" width="5.5703125" style="12" customWidth="1"/>
    <col min="20" max="21" width="12.140625" style="85" hidden="1" customWidth="1"/>
    <col min="22" max="22" width="11.85546875" style="7" hidden="1" customWidth="1"/>
    <col min="23" max="23" width="12.140625" style="7" hidden="1" customWidth="1"/>
    <col min="24" max="24" width="8" style="7" hidden="1" customWidth="1"/>
    <col min="25" max="25" width="9.85546875" style="7" hidden="1" customWidth="1"/>
    <col min="26" max="27" width="10.7109375" style="7" hidden="1" customWidth="1"/>
    <col min="28" max="28" width="4.7109375" style="7" hidden="1" customWidth="1"/>
    <col min="29" max="29" width="17.42578125" style="7" hidden="1" customWidth="1"/>
    <col min="30" max="30" width="10.140625" style="7" hidden="1" customWidth="1"/>
    <col min="31" max="31" width="5.7109375" style="7" hidden="1" customWidth="1"/>
    <col min="32" max="32" width="8.42578125" style="7" hidden="1" customWidth="1"/>
    <col min="33" max="16384" width="5.7109375" style="7" hidden="1"/>
  </cols>
  <sheetData>
    <row r="1" spans="2:36" ht="19.899999999999999" customHeight="1" x14ac:dyDescent="0.25">
      <c r="B1" s="3"/>
      <c r="C1" s="6"/>
      <c r="D1" s="6"/>
      <c r="K1" s="3"/>
      <c r="L1" s="3"/>
      <c r="M1" s="3"/>
      <c r="N1" s="3"/>
      <c r="O1" s="3"/>
      <c r="P1" s="3"/>
      <c r="Q1" s="3"/>
      <c r="R1" s="3"/>
      <c r="S1" s="8"/>
      <c r="T1" s="9"/>
      <c r="U1" s="9"/>
      <c r="V1" s="10"/>
      <c r="W1" s="10"/>
      <c r="X1" s="10"/>
      <c r="Y1" s="10" t="e">
        <f>AVERAGE(Y6:Y15)</f>
        <v>#DIV/0!</v>
      </c>
      <c r="Z1" s="10"/>
      <c r="AA1" s="10"/>
      <c r="AB1" s="10"/>
      <c r="AC1" s="11"/>
      <c r="AD1" s="11"/>
      <c r="AE1" s="10"/>
      <c r="AF1" s="10"/>
      <c r="AG1" s="10"/>
      <c r="AH1" s="10"/>
      <c r="AI1" s="10"/>
      <c r="AJ1" s="10"/>
    </row>
    <row r="2" spans="2:36" ht="15" customHeight="1" x14ac:dyDescent="0.25">
      <c r="B2" s="3"/>
      <c r="C2" s="6"/>
      <c r="D2" s="6"/>
      <c r="J2" s="3" t="s">
        <v>5</v>
      </c>
      <c r="K2" s="3"/>
      <c r="L2" s="3"/>
      <c r="M2" s="3"/>
      <c r="N2" s="3"/>
      <c r="O2" s="3"/>
      <c r="P2" s="3"/>
      <c r="T2" s="9"/>
      <c r="U2" s="13" t="s">
        <v>23</v>
      </c>
      <c r="V2" s="14" t="s">
        <v>22</v>
      </c>
      <c r="W2" s="10"/>
      <c r="X2" s="14" t="s">
        <v>26</v>
      </c>
      <c r="Y2" s="14" t="s">
        <v>27</v>
      </c>
      <c r="Z2" s="14"/>
      <c r="AA2" s="14"/>
      <c r="AB2" s="10"/>
      <c r="AC2" s="15" t="s">
        <v>39</v>
      </c>
      <c r="AD2" s="11"/>
      <c r="AE2" s="10"/>
      <c r="AF2" s="10"/>
      <c r="AG2" s="10"/>
      <c r="AH2" s="10"/>
      <c r="AI2" s="10"/>
      <c r="AJ2" s="10"/>
    </row>
    <row r="3" spans="2:36" s="16" customFormat="1" ht="15" customHeight="1" x14ac:dyDescent="0.3">
      <c r="B3" s="4"/>
      <c r="C3" s="6"/>
      <c r="D3" s="6"/>
      <c r="J3" s="17" t="s">
        <v>70</v>
      </c>
      <c r="K3" s="17"/>
      <c r="L3" s="18"/>
      <c r="M3" s="4"/>
      <c r="N3" s="4"/>
      <c r="O3" s="4"/>
      <c r="P3" s="4"/>
      <c r="S3" s="19"/>
      <c r="T3" s="20"/>
      <c r="U3" s="21" t="e">
        <f>AVERAGE(U6:U15)</f>
        <v>#DIV/0!</v>
      </c>
      <c r="V3" s="21" t="e">
        <f>AVERAGE(V6:V15)</f>
        <v>#DIV/0!</v>
      </c>
      <c r="W3" s="22"/>
      <c r="X3" s="21" t="e">
        <f>AVERAGE(X6:X15)</f>
        <v>#DIV/0!</v>
      </c>
      <c r="Y3" s="21" t="e">
        <f>IF(ABS(Y1)&lt;0.00001,0,Y1)</f>
        <v>#DIV/0!</v>
      </c>
      <c r="Z3" s="23"/>
      <c r="AA3" s="23"/>
      <c r="AB3" s="22"/>
      <c r="AC3" s="24" t="s">
        <v>24</v>
      </c>
      <c r="AD3" s="24" t="e">
        <f>IF(X3=0,0.00000001,X3)</f>
        <v>#DIV/0!</v>
      </c>
      <c r="AE3" s="22" t="s">
        <v>40</v>
      </c>
      <c r="AF3" s="22"/>
      <c r="AG3" s="22"/>
      <c r="AH3" s="22"/>
      <c r="AI3" s="22"/>
      <c r="AJ3" s="22"/>
    </row>
    <row r="4" spans="2:36" ht="15" customHeight="1" x14ac:dyDescent="0.25">
      <c r="B4" s="5"/>
      <c r="C4" s="25"/>
      <c r="D4" s="5"/>
      <c r="J4" s="110" t="s">
        <v>79</v>
      </c>
      <c r="K4" s="26"/>
      <c r="L4" s="5"/>
      <c r="M4" s="5"/>
      <c r="N4" s="5"/>
      <c r="O4" s="5"/>
      <c r="P4" s="5"/>
      <c r="T4" s="9"/>
      <c r="U4" s="27"/>
      <c r="V4" s="14" t="s">
        <v>19</v>
      </c>
      <c r="W4" s="14" t="s">
        <v>19</v>
      </c>
      <c r="X4" s="10"/>
      <c r="Y4" s="10"/>
      <c r="Z4" s="10"/>
      <c r="AA4" s="10"/>
      <c r="AB4" s="10"/>
      <c r="AC4" s="24" t="s">
        <v>25</v>
      </c>
      <c r="AD4" s="24" t="e">
        <f>Y3</f>
        <v>#DIV/0!</v>
      </c>
      <c r="AE4" s="10"/>
      <c r="AF4" s="10"/>
      <c r="AG4" s="10"/>
      <c r="AH4" s="10"/>
      <c r="AI4" s="10"/>
      <c r="AJ4" s="10"/>
    </row>
    <row r="5" spans="2:36" s="28" customFormat="1" ht="15" customHeight="1" thickBot="1" x14ac:dyDescent="0.3">
      <c r="B5" s="28" t="s">
        <v>0</v>
      </c>
      <c r="C5" s="29" t="s">
        <v>1</v>
      </c>
      <c r="D5" s="29" t="s">
        <v>2</v>
      </c>
      <c r="E5" s="29" t="s">
        <v>3</v>
      </c>
      <c r="F5" s="29" t="s">
        <v>2</v>
      </c>
      <c r="S5" s="30"/>
      <c r="T5" s="13" t="s">
        <v>21</v>
      </c>
      <c r="U5" s="13" t="s">
        <v>18</v>
      </c>
      <c r="V5" s="14" t="s">
        <v>20</v>
      </c>
      <c r="W5" s="14" t="s">
        <v>2</v>
      </c>
      <c r="X5" s="14" t="s">
        <v>24</v>
      </c>
      <c r="Y5" s="14" t="s">
        <v>25</v>
      </c>
      <c r="Z5" s="14"/>
      <c r="AA5" s="14"/>
      <c r="AB5" s="10"/>
      <c r="AC5" s="24" t="s">
        <v>28</v>
      </c>
      <c r="AD5" s="24" t="e">
        <f>ABS(SQRT((AD3*AD3)+(AD4*AD4)))</f>
        <v>#DIV/0!</v>
      </c>
      <c r="AE5" s="10"/>
      <c r="AF5" s="10"/>
      <c r="AG5" s="10"/>
      <c r="AH5" s="10"/>
      <c r="AI5" s="10"/>
      <c r="AJ5" s="10"/>
    </row>
    <row r="6" spans="2:36" ht="15" customHeight="1" x14ac:dyDescent="0.25">
      <c r="B6" s="31">
        <v>1</v>
      </c>
      <c r="C6" s="1"/>
      <c r="D6" s="2"/>
      <c r="E6" s="1"/>
      <c r="F6" s="32" t="str">
        <f>T20</f>
        <v/>
      </c>
      <c r="G6" s="3" t="str">
        <f>U20</f>
        <v/>
      </c>
      <c r="H6" s="33" t="s">
        <v>69</v>
      </c>
      <c r="I6" s="34"/>
      <c r="J6" s="34"/>
      <c r="K6" s="34"/>
      <c r="L6" s="34"/>
      <c r="M6" s="35"/>
      <c r="N6" s="36"/>
      <c r="O6" s="37"/>
      <c r="P6" s="36"/>
      <c r="T6" s="38" t="str">
        <f>IF(OR(C6="",E6=""),"No",IF(C6=E6,"yes",IF(D6="","no","YES")))</f>
        <v>No</v>
      </c>
      <c r="U6" s="38" t="str">
        <f t="shared" ref="U6:U15" si="0">IF(T6="no","",C6/2+E6/2)</f>
        <v/>
      </c>
      <c r="V6" s="39" t="str">
        <f t="shared" ref="V6:V15" si="1">IF(T6="yes",ABS(C6-E6),"")</f>
        <v/>
      </c>
      <c r="W6" s="40" t="str">
        <f t="shared" ref="W6:W15" si="2">IF(T6="yes",IF(C6=E6,0,IF(C6&gt;E6,D6,T20)),"no")</f>
        <v>no</v>
      </c>
      <c r="X6" s="40" t="str">
        <f>IF(T6="yes",(V6*COS(2*(RADIANS(W6)))),"")</f>
        <v/>
      </c>
      <c r="Y6" s="40" t="str">
        <f>IF(T6="yes",(V6*SIN(2*(RADIANS(W6)))),"")</f>
        <v/>
      </c>
      <c r="Z6" s="40"/>
      <c r="AA6" s="40"/>
      <c r="AB6" s="40"/>
      <c r="AC6" s="24" t="s">
        <v>29</v>
      </c>
      <c r="AD6" s="24" t="e">
        <f>AND(AD3&gt;=0,AD4&gt;=0)</f>
        <v>#DIV/0!</v>
      </c>
      <c r="AE6" s="40"/>
      <c r="AF6" s="40"/>
      <c r="AG6" s="40"/>
      <c r="AH6" s="40"/>
      <c r="AI6" s="40"/>
      <c r="AJ6" s="40"/>
    </row>
    <row r="7" spans="2:36" ht="15" customHeight="1" x14ac:dyDescent="0.25">
      <c r="B7" s="31">
        <v>2</v>
      </c>
      <c r="C7" s="1"/>
      <c r="D7" s="2"/>
      <c r="E7" s="1"/>
      <c r="F7" s="32" t="str">
        <f t="shared" ref="F7:F15" si="3">T21</f>
        <v/>
      </c>
      <c r="G7" s="3" t="str">
        <f t="shared" ref="G7:G15" si="4">U21</f>
        <v/>
      </c>
      <c r="H7" s="41"/>
      <c r="I7" s="42"/>
      <c r="J7" s="42"/>
      <c r="K7" s="42"/>
      <c r="L7" s="42"/>
      <c r="M7" s="43"/>
      <c r="N7" s="42"/>
      <c r="O7" s="44"/>
      <c r="P7" s="44"/>
      <c r="Q7" s="44"/>
      <c r="R7" s="44"/>
      <c r="T7" s="38" t="str">
        <f t="shared" ref="T7:T15" si="5">IF(OR(C7="",E7=""),"No",IF(C7=E7,"yes",IF(D7="","no","YES")))</f>
        <v>No</v>
      </c>
      <c r="U7" s="38" t="str">
        <f t="shared" si="0"/>
        <v/>
      </c>
      <c r="V7" s="39" t="str">
        <f t="shared" si="1"/>
        <v/>
      </c>
      <c r="W7" s="40" t="str">
        <f t="shared" si="2"/>
        <v>no</v>
      </c>
      <c r="X7" s="40" t="str">
        <f t="shared" ref="X7:X15" si="6">IF(T7="yes",(V7*COS(2*(RADIANS(W7)))),"")</f>
        <v/>
      </c>
      <c r="Y7" s="40" t="str">
        <f t="shared" ref="Y7:Y15" si="7">IF(T7="yes",(V7*SIN(2*(RADIANS(W7)))),"")</f>
        <v/>
      </c>
      <c r="Z7" s="40"/>
      <c r="AA7" s="40"/>
      <c r="AB7" s="40"/>
      <c r="AC7" s="24" t="s">
        <v>30</v>
      </c>
      <c r="AD7" s="24" t="e">
        <f>AND(AD3&lt;0,AD4&gt;=0)*2</f>
        <v>#DIV/0!</v>
      </c>
      <c r="AE7" s="40"/>
      <c r="AF7" s="45" t="s">
        <v>41</v>
      </c>
      <c r="AG7" s="40" t="e">
        <f>U3</f>
        <v>#DIV/0!</v>
      </c>
      <c r="AH7" s="40"/>
      <c r="AI7" s="40"/>
      <c r="AJ7" s="40"/>
    </row>
    <row r="8" spans="2:36" ht="15" customHeight="1" x14ac:dyDescent="0.25">
      <c r="B8" s="31">
        <v>3</v>
      </c>
      <c r="C8" s="1"/>
      <c r="D8" s="2"/>
      <c r="E8" s="1"/>
      <c r="F8" s="32" t="str">
        <f t="shared" si="3"/>
        <v/>
      </c>
      <c r="G8" s="3" t="str">
        <f t="shared" si="4"/>
        <v/>
      </c>
      <c r="H8" s="41"/>
      <c r="I8" s="46" t="str">
        <f>W22</f>
        <v/>
      </c>
      <c r="J8" s="46" t="str">
        <f>X22</f>
        <v/>
      </c>
      <c r="K8" s="47" t="str">
        <f>Y22</f>
        <v/>
      </c>
      <c r="L8" s="48" t="str">
        <f>AB22</f>
        <v/>
      </c>
      <c r="M8" s="43"/>
      <c r="N8" s="42"/>
      <c r="O8" s="44"/>
      <c r="P8" s="44"/>
      <c r="Q8" s="44"/>
      <c r="R8" s="44"/>
      <c r="T8" s="38" t="str">
        <f t="shared" si="5"/>
        <v>No</v>
      </c>
      <c r="U8" s="38" t="str">
        <f t="shared" si="0"/>
        <v/>
      </c>
      <c r="V8" s="39" t="str">
        <f t="shared" si="1"/>
        <v/>
      </c>
      <c r="W8" s="40" t="str">
        <f t="shared" si="2"/>
        <v>no</v>
      </c>
      <c r="X8" s="40" t="str">
        <f t="shared" si="6"/>
        <v/>
      </c>
      <c r="Y8" s="40" t="str">
        <f t="shared" si="7"/>
        <v/>
      </c>
      <c r="Z8" s="49" t="s">
        <v>62</v>
      </c>
      <c r="AA8" s="50"/>
      <c r="AB8" s="40"/>
      <c r="AC8" s="24" t="s">
        <v>31</v>
      </c>
      <c r="AD8" s="24" t="e">
        <f>AND(AD3&lt;0,AD4&lt;0)*3</f>
        <v>#DIV/0!</v>
      </c>
      <c r="AE8" s="40"/>
      <c r="AF8" s="45" t="s">
        <v>42</v>
      </c>
      <c r="AG8" s="40" t="e">
        <f>AD5</f>
        <v>#DIV/0!</v>
      </c>
      <c r="AH8" s="40"/>
      <c r="AI8" s="40"/>
      <c r="AJ8" s="40"/>
    </row>
    <row r="9" spans="2:36" ht="15" customHeight="1" x14ac:dyDescent="0.25">
      <c r="B9" s="31">
        <v>4</v>
      </c>
      <c r="C9" s="1"/>
      <c r="D9" s="2"/>
      <c r="E9" s="1"/>
      <c r="F9" s="32" t="str">
        <f t="shared" si="3"/>
        <v/>
      </c>
      <c r="G9" s="3" t="str">
        <f t="shared" si="4"/>
        <v/>
      </c>
      <c r="H9" s="41"/>
      <c r="I9" s="46"/>
      <c r="J9" s="51"/>
      <c r="K9" s="47"/>
      <c r="L9" s="52"/>
      <c r="M9" s="43"/>
      <c r="N9" s="42"/>
      <c r="O9" s="42"/>
      <c r="P9" s="42"/>
      <c r="T9" s="38" t="str">
        <f t="shared" si="5"/>
        <v>No</v>
      </c>
      <c r="U9" s="38" t="str">
        <f t="shared" si="0"/>
        <v/>
      </c>
      <c r="V9" s="39" t="str">
        <f t="shared" si="1"/>
        <v/>
      </c>
      <c r="W9" s="40" t="str">
        <f t="shared" si="2"/>
        <v>no</v>
      </c>
      <c r="X9" s="40" t="str">
        <f t="shared" si="6"/>
        <v/>
      </c>
      <c r="Y9" s="40" t="str">
        <f t="shared" si="7"/>
        <v/>
      </c>
      <c r="Z9" s="53"/>
      <c r="AA9" s="54" t="s">
        <v>63</v>
      </c>
      <c r="AB9" s="40"/>
      <c r="AC9" s="24" t="s">
        <v>32</v>
      </c>
      <c r="AD9" s="24" t="e">
        <f>AND(AD3&gt;=0,AD4&lt;0)*4</f>
        <v>#DIV/0!</v>
      </c>
      <c r="AE9" s="40"/>
      <c r="AF9" s="45" t="s">
        <v>2</v>
      </c>
      <c r="AG9" s="40" t="str">
        <f>AD18</f>
        <v/>
      </c>
      <c r="AH9" s="40"/>
      <c r="AI9" s="40"/>
      <c r="AJ9" s="40"/>
    </row>
    <row r="10" spans="2:36" ht="15" customHeight="1" x14ac:dyDescent="0.25">
      <c r="B10" s="31">
        <v>5</v>
      </c>
      <c r="C10" s="1"/>
      <c r="D10" s="2"/>
      <c r="E10" s="1"/>
      <c r="F10" s="32" t="str">
        <f t="shared" si="3"/>
        <v/>
      </c>
      <c r="G10" s="3" t="str">
        <f t="shared" si="4"/>
        <v/>
      </c>
      <c r="H10" s="41"/>
      <c r="I10" s="46" t="str">
        <f>W24</f>
        <v/>
      </c>
      <c r="J10" s="46" t="str">
        <f>X24</f>
        <v/>
      </c>
      <c r="K10" s="47" t="str">
        <f>Y24</f>
        <v/>
      </c>
      <c r="L10" s="48" t="str">
        <f>AB24</f>
        <v/>
      </c>
      <c r="M10" s="43"/>
      <c r="N10" s="42"/>
      <c r="O10" s="42"/>
      <c r="P10" s="42"/>
      <c r="T10" s="38" t="str">
        <f t="shared" si="5"/>
        <v>No</v>
      </c>
      <c r="U10" s="38" t="str">
        <f t="shared" si="0"/>
        <v/>
      </c>
      <c r="V10" s="39" t="str">
        <f t="shared" si="1"/>
        <v/>
      </c>
      <c r="W10" s="40" t="str">
        <f t="shared" si="2"/>
        <v>no</v>
      </c>
      <c r="X10" s="40" t="str">
        <f t="shared" si="6"/>
        <v/>
      </c>
      <c r="Y10" s="40" t="str">
        <f t="shared" si="7"/>
        <v/>
      </c>
      <c r="Z10" s="53"/>
      <c r="AA10" s="55" t="s">
        <v>64</v>
      </c>
      <c r="AB10" s="40"/>
      <c r="AC10" s="24" t="s">
        <v>33</v>
      </c>
      <c r="AD10" s="24" t="e">
        <f>AD6+AD7+AD8+AD9</f>
        <v>#DIV/0!</v>
      </c>
      <c r="AE10" s="40"/>
      <c r="AF10" s="56"/>
      <c r="AG10" s="57" t="s">
        <v>46</v>
      </c>
      <c r="AH10" s="58" t="s">
        <v>45</v>
      </c>
      <c r="AI10" s="40"/>
      <c r="AJ10" s="40"/>
    </row>
    <row r="11" spans="2:36" ht="15" customHeight="1" thickBot="1" x14ac:dyDescent="0.3">
      <c r="B11" s="31">
        <v>6</v>
      </c>
      <c r="C11" s="1"/>
      <c r="D11" s="2"/>
      <c r="E11" s="1"/>
      <c r="F11" s="32" t="str">
        <f t="shared" si="3"/>
        <v/>
      </c>
      <c r="G11" s="3" t="str">
        <f t="shared" si="4"/>
        <v/>
      </c>
      <c r="H11" s="59"/>
      <c r="I11" s="42"/>
      <c r="J11" s="60"/>
      <c r="K11" s="42"/>
      <c r="L11" s="42"/>
      <c r="M11" s="43"/>
      <c r="N11" s="61"/>
      <c r="O11" s="61"/>
      <c r="P11" s="61"/>
      <c r="T11" s="38" t="str">
        <f t="shared" si="5"/>
        <v>No</v>
      </c>
      <c r="U11" s="38" t="str">
        <f t="shared" si="0"/>
        <v/>
      </c>
      <c r="V11" s="39" t="str">
        <f t="shared" si="1"/>
        <v/>
      </c>
      <c r="W11" s="40" t="str">
        <f t="shared" si="2"/>
        <v>no</v>
      </c>
      <c r="X11" s="40" t="str">
        <f t="shared" si="6"/>
        <v/>
      </c>
      <c r="Y11" s="40" t="str">
        <f t="shared" si="7"/>
        <v/>
      </c>
      <c r="Z11" s="62" t="s">
        <v>66</v>
      </c>
      <c r="AA11" s="63" t="e">
        <f>AD5</f>
        <v>#DIV/0!</v>
      </c>
      <c r="AB11" s="40"/>
      <c r="AC11" s="24" t="s">
        <v>34</v>
      </c>
      <c r="AD11" s="24" t="e">
        <f>DEGREES(ATAN(AD4/AD3))</f>
        <v>#DIV/0!</v>
      </c>
      <c r="AE11" s="40"/>
      <c r="AF11" s="64" t="s">
        <v>43</v>
      </c>
      <c r="AG11" s="65" t="e">
        <f>AG7+AG8/2</f>
        <v>#DIV/0!</v>
      </c>
      <c r="AH11" s="66" t="str">
        <f>AG9</f>
        <v/>
      </c>
      <c r="AI11" s="40"/>
      <c r="AJ11" s="40"/>
    </row>
    <row r="12" spans="2:36" ht="15" customHeight="1" x14ac:dyDescent="0.25">
      <c r="B12" s="31">
        <v>7</v>
      </c>
      <c r="C12" s="1"/>
      <c r="D12" s="2"/>
      <c r="E12" s="1"/>
      <c r="F12" s="32" t="str">
        <f t="shared" si="3"/>
        <v/>
      </c>
      <c r="G12" s="3" t="str">
        <f t="shared" si="4"/>
        <v/>
      </c>
      <c r="H12" s="34"/>
      <c r="I12" s="34"/>
      <c r="J12" s="34"/>
      <c r="K12" s="34"/>
      <c r="L12" s="34"/>
      <c r="M12" s="34"/>
      <c r="N12" s="61"/>
      <c r="O12" s="61"/>
      <c r="P12" s="61"/>
      <c r="T12" s="38" t="str">
        <f t="shared" si="5"/>
        <v>No</v>
      </c>
      <c r="U12" s="38" t="str">
        <f t="shared" si="0"/>
        <v/>
      </c>
      <c r="V12" s="39" t="str">
        <f t="shared" si="1"/>
        <v/>
      </c>
      <c r="W12" s="40" t="str">
        <f t="shared" si="2"/>
        <v>no</v>
      </c>
      <c r="X12" s="40" t="str">
        <f t="shared" si="6"/>
        <v/>
      </c>
      <c r="Y12" s="40" t="str">
        <f t="shared" si="7"/>
        <v/>
      </c>
      <c r="Z12" s="62" t="s">
        <v>65</v>
      </c>
      <c r="AA12" s="63" t="e">
        <f>V3</f>
        <v>#DIV/0!</v>
      </c>
      <c r="AB12" s="40"/>
      <c r="AC12" s="24"/>
      <c r="AD12" s="24"/>
      <c r="AE12" s="40"/>
      <c r="AF12" s="67" t="s">
        <v>44</v>
      </c>
      <c r="AG12" s="68" t="e">
        <f>AG7-AG8/2</f>
        <v>#DIV/0!</v>
      </c>
      <c r="AH12" s="69" t="e">
        <f>IF(AH11&gt;90,AH11-90,AH11+90)</f>
        <v>#VALUE!</v>
      </c>
      <c r="AI12" s="40"/>
      <c r="AJ12" s="40"/>
    </row>
    <row r="13" spans="2:36" ht="15" customHeight="1" x14ac:dyDescent="0.25">
      <c r="B13" s="31">
        <v>8</v>
      </c>
      <c r="C13" s="1"/>
      <c r="D13" s="2"/>
      <c r="E13" s="1"/>
      <c r="F13" s="32" t="str">
        <f t="shared" si="3"/>
        <v/>
      </c>
      <c r="G13" s="3" t="str">
        <f t="shared" si="4"/>
        <v/>
      </c>
      <c r="H13" s="70" t="s">
        <v>68</v>
      </c>
      <c r="L13" s="42"/>
      <c r="M13" s="42"/>
      <c r="N13" s="71"/>
      <c r="O13" s="71"/>
      <c r="P13" s="71"/>
      <c r="T13" s="38" t="str">
        <f t="shared" si="5"/>
        <v>No</v>
      </c>
      <c r="U13" s="38" t="str">
        <f t="shared" si="0"/>
        <v/>
      </c>
      <c r="V13" s="39" t="str">
        <f t="shared" si="1"/>
        <v/>
      </c>
      <c r="W13" s="40" t="str">
        <f t="shared" si="2"/>
        <v>no</v>
      </c>
      <c r="X13" s="40" t="str">
        <f t="shared" si="6"/>
        <v/>
      </c>
      <c r="Y13" s="40" t="str">
        <f t="shared" si="7"/>
        <v/>
      </c>
      <c r="Z13" s="62" t="s">
        <v>67</v>
      </c>
      <c r="AA13" s="63" t="e">
        <f>STDEV(V6:V15)</f>
        <v>#DIV/0!</v>
      </c>
      <c r="AB13" s="40"/>
      <c r="AC13" s="24" t="s">
        <v>35</v>
      </c>
      <c r="AD13" s="24" t="e">
        <f>IF(AD11&lt;0,AD11+360,AD11)</f>
        <v>#DIV/0!</v>
      </c>
      <c r="AE13" s="40"/>
      <c r="AF13" s="40"/>
      <c r="AG13" s="40"/>
      <c r="AH13" s="40"/>
      <c r="AI13" s="40"/>
      <c r="AJ13" s="40"/>
    </row>
    <row r="14" spans="2:36" ht="15" customHeight="1" x14ac:dyDescent="0.25">
      <c r="B14" s="31">
        <v>9</v>
      </c>
      <c r="C14" s="1"/>
      <c r="D14" s="2"/>
      <c r="E14" s="1"/>
      <c r="F14" s="32" t="str">
        <f t="shared" si="3"/>
        <v/>
      </c>
      <c r="G14" s="3" t="str">
        <f t="shared" si="4"/>
        <v/>
      </c>
      <c r="L14" s="72" t="s">
        <v>47</v>
      </c>
      <c r="M14" s="73" t="str">
        <f t="shared" ref="M14:N17" si="8">AC27</f>
        <v/>
      </c>
      <c r="N14" s="74" t="str">
        <f t="shared" si="8"/>
        <v/>
      </c>
      <c r="O14" s="75"/>
      <c r="P14" s="75"/>
      <c r="Q14" s="75"/>
      <c r="R14" s="75"/>
      <c r="T14" s="38" t="str">
        <f t="shared" si="5"/>
        <v>No</v>
      </c>
      <c r="U14" s="38" t="str">
        <f t="shared" si="0"/>
        <v/>
      </c>
      <c r="V14" s="39" t="str">
        <f t="shared" si="1"/>
        <v/>
      </c>
      <c r="W14" s="40" t="str">
        <f t="shared" si="2"/>
        <v>no</v>
      </c>
      <c r="X14" s="40" t="str">
        <f t="shared" si="6"/>
        <v/>
      </c>
      <c r="Y14" s="40" t="str">
        <f t="shared" si="7"/>
        <v/>
      </c>
      <c r="Z14" s="62" t="s">
        <v>62</v>
      </c>
      <c r="AA14" s="76" t="e">
        <f>AA11/(AA12+AA13)</f>
        <v>#DIV/0!</v>
      </c>
      <c r="AB14" s="40"/>
      <c r="AC14" s="24" t="s">
        <v>36</v>
      </c>
      <c r="AD14" s="24" t="e">
        <f>INT(AD13/90)+1</f>
        <v>#DIV/0!</v>
      </c>
      <c r="AE14" s="40"/>
      <c r="AF14" s="40"/>
      <c r="AG14" s="40"/>
      <c r="AH14" s="40"/>
      <c r="AI14" s="40"/>
      <c r="AJ14" s="40"/>
    </row>
    <row r="15" spans="2:36" ht="15" customHeight="1" x14ac:dyDescent="0.25">
      <c r="B15" s="31">
        <v>10</v>
      </c>
      <c r="C15" s="1"/>
      <c r="D15" s="2"/>
      <c r="E15" s="1"/>
      <c r="F15" s="32" t="str">
        <f t="shared" si="3"/>
        <v/>
      </c>
      <c r="G15" s="3" t="str">
        <f t="shared" si="4"/>
        <v/>
      </c>
      <c r="L15" s="72" t="s">
        <v>48</v>
      </c>
      <c r="M15" s="73" t="str">
        <f t="shared" si="8"/>
        <v/>
      </c>
      <c r="N15" s="74" t="str">
        <f t="shared" si="8"/>
        <v/>
      </c>
      <c r="O15" s="77" t="str">
        <f>AE28</f>
        <v/>
      </c>
      <c r="P15" s="74" t="str">
        <f>AF28</f>
        <v/>
      </c>
      <c r="Q15" s="75"/>
      <c r="R15" s="75"/>
      <c r="T15" s="38" t="str">
        <f t="shared" si="5"/>
        <v>No</v>
      </c>
      <c r="U15" s="38" t="str">
        <f t="shared" si="0"/>
        <v/>
      </c>
      <c r="V15" s="39" t="str">
        <f t="shared" si="1"/>
        <v/>
      </c>
      <c r="W15" s="40" t="str">
        <f t="shared" si="2"/>
        <v>no</v>
      </c>
      <c r="X15" s="40" t="str">
        <f t="shared" si="6"/>
        <v/>
      </c>
      <c r="Y15" s="40" t="str">
        <f t="shared" si="7"/>
        <v/>
      </c>
      <c r="Z15" s="78" t="s">
        <v>62</v>
      </c>
      <c r="AA15" s="79" t="str">
        <f>IFERROR(AA14*100,"")</f>
        <v/>
      </c>
      <c r="AB15" s="40"/>
      <c r="AC15" s="24" t="s">
        <v>37</v>
      </c>
      <c r="AD15" s="24" t="e">
        <f>AND(AD14=AD10)</f>
        <v>#DIV/0!</v>
      </c>
      <c r="AE15" s="40"/>
      <c r="AF15" s="40"/>
      <c r="AG15" s="40"/>
      <c r="AH15" s="40"/>
      <c r="AI15" s="40"/>
      <c r="AJ15" s="40"/>
    </row>
    <row r="16" spans="2:36" ht="15" customHeight="1" x14ac:dyDescent="0.25">
      <c r="B16" s="80"/>
      <c r="L16" s="72" t="s">
        <v>49</v>
      </c>
      <c r="M16" s="81" t="str">
        <f t="shared" si="8"/>
        <v/>
      </c>
      <c r="N16" s="82" t="str">
        <f t="shared" si="8"/>
        <v/>
      </c>
      <c r="O16" s="75"/>
      <c r="P16" s="75"/>
      <c r="Q16" s="75"/>
      <c r="R16" s="75"/>
      <c r="T16" s="9"/>
      <c r="U16" s="13" t="s">
        <v>51</v>
      </c>
      <c r="V16" s="83">
        <f>COUNT(V6:V15)</f>
        <v>0</v>
      </c>
      <c r="W16" s="10"/>
      <c r="X16" s="10"/>
      <c r="Y16" s="10"/>
      <c r="Z16" s="10"/>
      <c r="AA16" s="10"/>
      <c r="AB16" s="10"/>
      <c r="AC16" s="24"/>
      <c r="AD16" s="24" t="e">
        <f>IF(AD15=TRUE,0,IF(AD10&gt;AD14,1,-1))</f>
        <v>#DIV/0!</v>
      </c>
      <c r="AE16" s="10"/>
      <c r="AF16" s="10"/>
      <c r="AG16" s="10"/>
      <c r="AH16" s="10"/>
      <c r="AI16" s="10"/>
      <c r="AJ16" s="10"/>
    </row>
    <row r="17" spans="2:36" ht="15" customHeight="1" x14ac:dyDescent="0.25">
      <c r="B17" s="110"/>
      <c r="L17" s="72" t="s">
        <v>53</v>
      </c>
      <c r="M17" s="81" t="str">
        <f t="shared" si="8"/>
        <v/>
      </c>
      <c r="N17" s="82" t="str">
        <f t="shared" si="8"/>
        <v/>
      </c>
      <c r="T17" s="9"/>
      <c r="U17" s="13"/>
      <c r="V17" s="83"/>
      <c r="W17" s="10"/>
      <c r="X17" s="10"/>
      <c r="Y17" s="10"/>
      <c r="Z17" s="10"/>
      <c r="AA17" s="10"/>
      <c r="AB17" s="10"/>
      <c r="AC17" s="24"/>
      <c r="AD17" s="24"/>
      <c r="AE17" s="10"/>
      <c r="AF17" s="10"/>
      <c r="AG17" s="10"/>
      <c r="AH17" s="10"/>
      <c r="AI17" s="10"/>
      <c r="AJ17" s="10"/>
    </row>
    <row r="18" spans="2:36" ht="15" customHeight="1" x14ac:dyDescent="0.25">
      <c r="T18" s="9"/>
      <c r="U18" s="9"/>
      <c r="V18" s="10"/>
      <c r="W18" s="10"/>
      <c r="X18" s="10"/>
      <c r="Y18" s="10"/>
      <c r="Z18" s="10"/>
      <c r="AA18" s="10"/>
      <c r="AB18" s="10"/>
      <c r="AC18" s="24" t="s">
        <v>38</v>
      </c>
      <c r="AD18" s="24" t="str">
        <f>IFERROR((AD13+(AD16*180))/2,"")</f>
        <v/>
      </c>
      <c r="AE18" s="10"/>
      <c r="AF18" s="10"/>
      <c r="AG18" s="10"/>
      <c r="AH18" s="10"/>
      <c r="AI18" s="10"/>
      <c r="AJ18" s="10"/>
    </row>
    <row r="19" spans="2:36" ht="15" customHeight="1" thickBot="1" x14ac:dyDescent="0.3">
      <c r="B19" s="98"/>
      <c r="C19" s="99"/>
      <c r="D19" s="99"/>
      <c r="E19" s="99"/>
      <c r="F19" s="99"/>
      <c r="G19" s="99"/>
      <c r="H19" s="99"/>
      <c r="I19" s="99"/>
      <c r="J19" s="99"/>
      <c r="K19" s="100"/>
      <c r="T19" s="84"/>
      <c r="U19" s="84"/>
      <c r="V19" s="85"/>
      <c r="AH19" s="86"/>
    </row>
    <row r="20" spans="2:36" s="88" customFormat="1" ht="16.899999999999999" customHeight="1" x14ac:dyDescent="0.25">
      <c r="B20" s="100"/>
      <c r="C20" s="109" t="s">
        <v>56</v>
      </c>
      <c r="D20" s="101"/>
      <c r="E20" s="101"/>
      <c r="F20" s="101"/>
      <c r="G20" s="101"/>
      <c r="H20" s="101"/>
      <c r="I20" s="101"/>
      <c r="J20" s="101"/>
      <c r="K20" s="100"/>
      <c r="L20" s="114" t="s">
        <v>54</v>
      </c>
      <c r="M20" s="114"/>
      <c r="N20" s="114"/>
      <c r="O20" s="114"/>
      <c r="P20" s="114"/>
      <c r="Q20" s="114"/>
      <c r="R20" s="114"/>
      <c r="S20" s="87"/>
      <c r="T20" s="32" t="str">
        <f t="shared" ref="T20:T29" si="9">IF(D6="","",IF(D6&gt;90,D6-90,D6+90))</f>
        <v/>
      </c>
      <c r="U20" s="3" t="str">
        <f t="shared" ref="U20:U29" si="10">IF(T6="yes","√","")</f>
        <v/>
      </c>
      <c r="V20" s="33" t="s">
        <v>4</v>
      </c>
      <c r="W20" s="34"/>
      <c r="X20" s="34"/>
      <c r="Y20" s="34"/>
      <c r="Z20" s="34"/>
      <c r="AA20" s="34"/>
      <c r="AB20" s="34"/>
      <c r="AC20" s="35"/>
      <c r="AD20" s="36"/>
      <c r="AE20" s="37" t="s">
        <v>50</v>
      </c>
      <c r="AF20" s="36"/>
      <c r="AG20" s="7"/>
    </row>
    <row r="21" spans="2:36" s="88" customFormat="1" ht="16.899999999999999" customHeight="1" x14ac:dyDescent="0.25">
      <c r="B21" s="102"/>
      <c r="C21" s="109" t="s">
        <v>57</v>
      </c>
      <c r="D21" s="101"/>
      <c r="E21" s="101"/>
      <c r="F21" s="101"/>
      <c r="G21" s="101"/>
      <c r="H21" s="101"/>
      <c r="I21" s="101"/>
      <c r="J21" s="101"/>
      <c r="K21" s="100"/>
      <c r="S21" s="87"/>
      <c r="T21" s="32" t="str">
        <f t="shared" si="9"/>
        <v/>
      </c>
      <c r="U21" s="3" t="str">
        <f t="shared" si="10"/>
        <v/>
      </c>
      <c r="V21" s="41"/>
      <c r="W21" s="42"/>
      <c r="X21" s="42"/>
      <c r="Y21" s="42"/>
      <c r="Z21" s="42"/>
      <c r="AA21" s="42"/>
      <c r="AB21" s="42"/>
      <c r="AC21" s="43"/>
      <c r="AD21" s="42"/>
      <c r="AE21" s="113">
        <f>V16</f>
        <v>0</v>
      </c>
      <c r="AF21" s="113"/>
      <c r="AG21" s="113"/>
    </row>
    <row r="22" spans="2:36" s="88" customFormat="1" ht="16.899999999999999" customHeight="1" x14ac:dyDescent="0.25">
      <c r="B22" s="100"/>
      <c r="C22" s="108"/>
      <c r="D22" s="101"/>
      <c r="E22" s="101"/>
      <c r="F22" s="101"/>
      <c r="G22" s="101"/>
      <c r="H22" s="101"/>
      <c r="I22" s="101"/>
      <c r="J22" s="101"/>
      <c r="K22" s="100"/>
      <c r="S22" s="87"/>
      <c r="T22" s="32" t="str">
        <f t="shared" si="9"/>
        <v/>
      </c>
      <c r="U22" s="3" t="str">
        <f t="shared" si="10"/>
        <v/>
      </c>
      <c r="V22" s="41"/>
      <c r="W22" s="89" t="str">
        <f>IFERROR(AG11,"")</f>
        <v/>
      </c>
      <c r="X22" s="60" t="str">
        <f>IF(W22&lt;&gt;"",IF(ABS(W22-W24)&lt;0.01,"D","D @"),"")</f>
        <v/>
      </c>
      <c r="Y22" s="90" t="str">
        <f>IFERROR(IF(ABS(W22-W24)&lt;0.01,"",AH11),"")</f>
        <v/>
      </c>
      <c r="Z22" s="90"/>
      <c r="AA22" s="90"/>
      <c r="AB22" s="52" t="str">
        <f>IF(Y22&lt;&gt;"","degrees","")</f>
        <v/>
      </c>
      <c r="AC22" s="43"/>
      <c r="AD22" s="42"/>
      <c r="AE22" s="113"/>
      <c r="AF22" s="113"/>
      <c r="AG22" s="113"/>
    </row>
    <row r="23" spans="2:36" s="88" customFormat="1" ht="16.899999999999999" customHeight="1" x14ac:dyDescent="0.25">
      <c r="B23" s="98"/>
      <c r="C23" s="109" t="s">
        <v>71</v>
      </c>
      <c r="D23" s="103"/>
      <c r="E23" s="103"/>
      <c r="F23" s="103"/>
      <c r="G23" s="103"/>
      <c r="H23" s="103"/>
      <c r="I23" s="103"/>
      <c r="J23" s="103"/>
      <c r="K23" s="100"/>
      <c r="S23" s="87"/>
      <c r="T23" s="32" t="str">
        <f t="shared" si="9"/>
        <v/>
      </c>
      <c r="U23" s="3" t="str">
        <f t="shared" si="10"/>
        <v/>
      </c>
      <c r="V23" s="41"/>
      <c r="W23" s="89"/>
      <c r="X23" s="42"/>
      <c r="Y23" s="90"/>
      <c r="Z23" s="90"/>
      <c r="AA23" s="90"/>
      <c r="AB23" s="42"/>
      <c r="AC23" s="43"/>
      <c r="AD23" s="42"/>
      <c r="AE23" s="42"/>
      <c r="AF23" s="42"/>
      <c r="AG23" s="7"/>
    </row>
    <row r="24" spans="2:36" s="88" customFormat="1" ht="16.899999999999999" customHeight="1" x14ac:dyDescent="0.25">
      <c r="B24" s="100"/>
      <c r="C24" s="109" t="s">
        <v>59</v>
      </c>
      <c r="D24" s="103"/>
      <c r="E24" s="103"/>
      <c r="F24" s="103"/>
      <c r="G24" s="103"/>
      <c r="H24" s="103"/>
      <c r="I24" s="103"/>
      <c r="J24" s="103"/>
      <c r="K24" s="100"/>
      <c r="S24" s="87"/>
      <c r="T24" s="32" t="str">
        <f t="shared" si="9"/>
        <v/>
      </c>
      <c r="U24" s="3" t="str">
        <f t="shared" si="10"/>
        <v/>
      </c>
      <c r="V24" s="41"/>
      <c r="W24" s="89" t="str">
        <f>IFERROR(AG12,"")</f>
        <v/>
      </c>
      <c r="X24" s="60" t="str">
        <f>IF(W24&lt;&gt;"",IF(ABS(W22-W24)&lt;0.01,"D","D @"),"")</f>
        <v/>
      </c>
      <c r="Y24" s="90" t="str">
        <f>IFERROR(IF(ABS(W22-W24)&lt;0.01,"",AH12),"")</f>
        <v/>
      </c>
      <c r="Z24" s="90"/>
      <c r="AA24" s="90"/>
      <c r="AB24" s="52" t="str">
        <f>IF(Y24&lt;&gt;"","degrees","")</f>
        <v/>
      </c>
      <c r="AC24" s="43"/>
      <c r="AD24" s="42"/>
      <c r="AE24" s="42"/>
      <c r="AF24" s="42"/>
      <c r="AG24" s="7"/>
    </row>
    <row r="25" spans="2:36" s="88" customFormat="1" ht="16.899999999999999" customHeight="1" thickBot="1" x14ac:dyDescent="0.3">
      <c r="B25" s="102"/>
      <c r="C25" s="109" t="s">
        <v>72</v>
      </c>
      <c r="D25" s="103"/>
      <c r="E25" s="103"/>
      <c r="F25" s="103"/>
      <c r="G25" s="103"/>
      <c r="H25" s="103"/>
      <c r="I25" s="103"/>
      <c r="J25" s="103"/>
      <c r="K25" s="100"/>
      <c r="S25" s="87"/>
      <c r="T25" s="32" t="str">
        <f t="shared" si="9"/>
        <v/>
      </c>
      <c r="U25" s="3" t="str">
        <f t="shared" si="10"/>
        <v/>
      </c>
      <c r="V25" s="59"/>
      <c r="W25" s="42"/>
      <c r="X25" s="60"/>
      <c r="Y25" s="42"/>
      <c r="Z25" s="42"/>
      <c r="AA25" s="42"/>
      <c r="AB25" s="42"/>
      <c r="AC25" s="43"/>
      <c r="AD25" s="61"/>
      <c r="AE25" s="61"/>
      <c r="AF25" s="61"/>
      <c r="AG25" s="7"/>
    </row>
    <row r="26" spans="2:36" s="88" customFormat="1" ht="16.899999999999999" customHeight="1" thickBot="1" x14ac:dyDescent="0.3">
      <c r="B26" s="102"/>
      <c r="C26" s="104"/>
      <c r="D26" s="104"/>
      <c r="E26" s="104"/>
      <c r="F26" s="104"/>
      <c r="G26" s="103"/>
      <c r="H26" s="103"/>
      <c r="I26" s="103"/>
      <c r="J26" s="103"/>
      <c r="K26" s="100"/>
      <c r="S26" s="87"/>
      <c r="T26" s="32" t="str">
        <f t="shared" si="9"/>
        <v/>
      </c>
      <c r="U26" s="3" t="str">
        <f t="shared" si="10"/>
        <v/>
      </c>
      <c r="V26" s="34"/>
      <c r="W26" s="34"/>
      <c r="X26" s="34"/>
      <c r="Y26" s="34"/>
      <c r="Z26" s="34"/>
      <c r="AA26" s="34"/>
      <c r="AB26" s="34"/>
      <c r="AC26" s="34"/>
      <c r="AD26" s="71"/>
      <c r="AE26" s="71"/>
      <c r="AF26" s="71"/>
      <c r="AG26" s="7"/>
    </row>
    <row r="27" spans="2:36" s="88" customFormat="1" ht="16.899999999999999" customHeight="1" thickBot="1" x14ac:dyDescent="0.3">
      <c r="B27" s="100"/>
      <c r="C27" s="105" t="s">
        <v>58</v>
      </c>
      <c r="D27" s="104"/>
      <c r="E27" s="104"/>
      <c r="F27" s="104"/>
      <c r="G27" s="104"/>
      <c r="H27" s="103"/>
      <c r="I27" s="103"/>
      <c r="J27" s="103"/>
      <c r="K27" s="100"/>
      <c r="S27" s="87"/>
      <c r="T27" s="32" t="str">
        <f t="shared" si="9"/>
        <v/>
      </c>
      <c r="U27" s="3" t="str">
        <f t="shared" si="10"/>
        <v/>
      </c>
      <c r="V27" s="7"/>
      <c r="W27" s="7"/>
      <c r="X27" s="7"/>
      <c r="Y27" s="7"/>
      <c r="Z27" s="7"/>
      <c r="AA27" s="7"/>
      <c r="AB27" s="72" t="s">
        <v>47</v>
      </c>
      <c r="AC27" s="91" t="str">
        <f>IF(AE21=0,"",U3)</f>
        <v/>
      </c>
      <c r="AD27" s="75" t="str">
        <f>IF(AC27&lt;&gt;""," D","")</f>
        <v/>
      </c>
      <c r="AE27" s="75"/>
      <c r="AF27" s="75"/>
      <c r="AG27" s="75"/>
    </row>
    <row r="28" spans="2:36" s="88" customFormat="1" ht="16.899999999999999" customHeight="1" x14ac:dyDescent="0.25">
      <c r="B28" s="106"/>
      <c r="C28" s="103"/>
      <c r="D28" s="103"/>
      <c r="E28" s="103"/>
      <c r="F28" s="103"/>
      <c r="G28" s="103"/>
      <c r="H28" s="103"/>
      <c r="I28" s="103"/>
      <c r="J28" s="103"/>
      <c r="K28" s="100"/>
      <c r="S28" s="87"/>
      <c r="T28" s="32" t="str">
        <f t="shared" si="9"/>
        <v/>
      </c>
      <c r="U28" s="3" t="str">
        <f t="shared" si="10"/>
        <v/>
      </c>
      <c r="V28" s="7"/>
      <c r="W28" s="7"/>
      <c r="X28" s="7"/>
      <c r="Y28" s="7"/>
      <c r="Z28" s="7"/>
      <c r="AA28" s="7"/>
      <c r="AB28" s="72" t="s">
        <v>48</v>
      </c>
      <c r="AC28" s="91" t="str">
        <f>IF(AE21=0,"",AD5)</f>
        <v/>
      </c>
      <c r="AD28" s="75" t="str">
        <f>IF(AC28&lt;&gt;""," D @ ","")</f>
        <v/>
      </c>
      <c r="AE28" s="92" t="str">
        <f>IF(AE21=0,"",AD18)</f>
        <v/>
      </c>
      <c r="AF28" s="75" t="str">
        <f>IF(AE28&lt;&gt;""," degrees","")</f>
        <v/>
      </c>
      <c r="AG28" s="75"/>
    </row>
    <row r="29" spans="2:36" s="88" customFormat="1" ht="16.899999999999999" customHeight="1" x14ac:dyDescent="0.25">
      <c r="B29" s="100"/>
      <c r="C29" s="99" t="s">
        <v>6</v>
      </c>
      <c r="D29" s="99"/>
      <c r="E29" s="99"/>
      <c r="F29" s="99"/>
      <c r="G29" s="99"/>
      <c r="H29" s="99"/>
      <c r="I29" s="99"/>
      <c r="J29" s="99"/>
      <c r="K29" s="100"/>
      <c r="S29" s="87"/>
      <c r="T29" s="32" t="str">
        <f t="shared" si="9"/>
        <v/>
      </c>
      <c r="U29" s="3" t="str">
        <f t="shared" si="10"/>
        <v/>
      </c>
      <c r="V29" s="7"/>
      <c r="W29" s="7"/>
      <c r="X29" s="7"/>
      <c r="Y29" s="7"/>
      <c r="Z29" s="7"/>
      <c r="AA29" s="7"/>
      <c r="AB29" s="72" t="s">
        <v>49</v>
      </c>
      <c r="AC29" s="93" t="str">
        <f>IFERROR(IF(AE21=0,"",AD5*100/V3),"")</f>
        <v/>
      </c>
      <c r="AD29" s="75" t="str">
        <f>IFERROR(IF(AC29&lt;&gt;"","%",""),"")</f>
        <v/>
      </c>
      <c r="AE29" s="75"/>
      <c r="AF29" s="75"/>
      <c r="AG29" s="75"/>
    </row>
    <row r="30" spans="2:36" s="88" customFormat="1" ht="16.899999999999999" customHeight="1" x14ac:dyDescent="0.25">
      <c r="B30" s="100"/>
      <c r="C30" s="99" t="s">
        <v>7</v>
      </c>
      <c r="D30" s="99"/>
      <c r="E30" s="99"/>
      <c r="F30" s="99"/>
      <c r="G30" s="99"/>
      <c r="H30" s="99"/>
      <c r="I30" s="99"/>
      <c r="J30" s="99"/>
      <c r="K30" s="100"/>
      <c r="S30" s="87"/>
      <c r="T30" s="94"/>
      <c r="U30" s="94"/>
      <c r="V30" s="7"/>
      <c r="W30" s="7"/>
      <c r="X30" s="7"/>
      <c r="Y30" s="7"/>
      <c r="Z30" s="7"/>
      <c r="AA30" s="7"/>
      <c r="AB30" s="72" t="s">
        <v>53</v>
      </c>
      <c r="AC30" s="93" t="str">
        <f>AA15</f>
        <v/>
      </c>
      <c r="AD30" s="75" t="str">
        <f>IFERROR(IF(AC30&lt;&gt;"","%",""),"")</f>
        <v/>
      </c>
      <c r="AE30" s="7"/>
      <c r="AF30" s="7"/>
      <c r="AG30" s="7"/>
    </row>
    <row r="31" spans="2:36" s="88" customFormat="1" ht="16.899999999999999" customHeight="1" x14ac:dyDescent="0.25">
      <c r="B31" s="100"/>
      <c r="C31" s="99" t="s">
        <v>8</v>
      </c>
      <c r="D31" s="99"/>
      <c r="E31" s="99"/>
      <c r="F31" s="99"/>
      <c r="G31" s="99"/>
      <c r="H31" s="99"/>
      <c r="I31" s="99"/>
      <c r="J31" s="99"/>
      <c r="K31" s="100"/>
      <c r="S31" s="87"/>
      <c r="T31" s="95"/>
      <c r="U31" s="95"/>
      <c r="V31" s="94"/>
      <c r="AH31" s="96"/>
    </row>
    <row r="32" spans="2:36" s="88" customFormat="1" ht="16.899999999999999" customHeight="1" x14ac:dyDescent="0.25">
      <c r="B32" s="100"/>
      <c r="C32" s="99"/>
      <c r="D32" s="99"/>
      <c r="E32" s="99"/>
      <c r="F32" s="99"/>
      <c r="G32" s="99"/>
      <c r="H32" s="99"/>
      <c r="I32" s="99"/>
      <c r="J32" s="99"/>
      <c r="K32" s="102"/>
      <c r="S32" s="87"/>
      <c r="T32" s="94"/>
      <c r="U32" s="94"/>
    </row>
    <row r="33" spans="2:21" s="88" customFormat="1" ht="16.899999999999999" customHeight="1" x14ac:dyDescent="0.25">
      <c r="B33" s="100"/>
      <c r="C33" s="99" t="s">
        <v>9</v>
      </c>
      <c r="D33" s="99"/>
      <c r="E33" s="99"/>
      <c r="F33" s="99"/>
      <c r="G33" s="99"/>
      <c r="H33" s="99"/>
      <c r="I33" s="99"/>
      <c r="J33" s="99"/>
      <c r="K33" s="100"/>
      <c r="S33" s="87"/>
      <c r="T33" s="94"/>
      <c r="U33" s="94"/>
    </row>
    <row r="34" spans="2:21" s="88" customFormat="1" ht="16.899999999999999" customHeight="1" x14ac:dyDescent="0.25">
      <c r="B34" s="100"/>
      <c r="C34" s="99" t="s">
        <v>10</v>
      </c>
      <c r="D34" s="99"/>
      <c r="E34" s="99"/>
      <c r="F34" s="99"/>
      <c r="G34" s="99"/>
      <c r="H34" s="99"/>
      <c r="I34" s="99"/>
      <c r="J34" s="99"/>
      <c r="K34" s="106"/>
      <c r="S34" s="87"/>
      <c r="T34" s="94"/>
      <c r="U34" s="94"/>
    </row>
    <row r="35" spans="2:21" s="88" customFormat="1" ht="16.899999999999999" customHeight="1" x14ac:dyDescent="0.25">
      <c r="B35" s="100"/>
      <c r="C35" s="99" t="s">
        <v>11</v>
      </c>
      <c r="D35" s="99"/>
      <c r="E35" s="99"/>
      <c r="F35" s="99"/>
      <c r="G35" s="99"/>
      <c r="H35" s="99"/>
      <c r="I35" s="99"/>
      <c r="J35" s="99"/>
      <c r="K35" s="100"/>
      <c r="S35" s="87"/>
      <c r="T35" s="94"/>
      <c r="U35" s="94"/>
    </row>
    <row r="36" spans="2:21" s="88" customFormat="1" ht="16.899999999999999" customHeight="1" x14ac:dyDescent="0.25">
      <c r="B36" s="100"/>
      <c r="C36" s="99"/>
      <c r="D36" s="99"/>
      <c r="E36" s="99"/>
      <c r="F36" s="99"/>
      <c r="G36" s="99"/>
      <c r="H36" s="99"/>
      <c r="I36" s="99"/>
      <c r="J36" s="99"/>
      <c r="K36" s="100"/>
      <c r="L36" s="114" t="s">
        <v>55</v>
      </c>
      <c r="M36" s="114"/>
      <c r="N36" s="114"/>
      <c r="O36" s="114"/>
      <c r="P36" s="114"/>
      <c r="Q36" s="114"/>
      <c r="R36" s="114"/>
      <c r="S36" s="87"/>
      <c r="T36" s="94"/>
      <c r="U36" s="94"/>
    </row>
    <row r="37" spans="2:21" s="88" customFormat="1" ht="16.899999999999999" customHeight="1" x14ac:dyDescent="0.25">
      <c r="B37" s="100"/>
      <c r="C37" s="99" t="s">
        <v>12</v>
      </c>
      <c r="D37" s="99"/>
      <c r="E37" s="99"/>
      <c r="F37" s="99"/>
      <c r="G37" s="99"/>
      <c r="H37" s="99"/>
      <c r="I37" s="99"/>
      <c r="J37" s="99"/>
      <c r="K37" s="100"/>
      <c r="S37" s="87"/>
      <c r="T37" s="94"/>
      <c r="U37" s="94"/>
    </row>
    <row r="38" spans="2:21" s="88" customFormat="1" ht="16.899999999999999" customHeight="1" x14ac:dyDescent="0.25">
      <c r="B38" s="100"/>
      <c r="C38" s="99" t="s">
        <v>13</v>
      </c>
      <c r="D38" s="99"/>
      <c r="E38" s="99"/>
      <c r="F38" s="99"/>
      <c r="G38" s="99"/>
      <c r="H38" s="99"/>
      <c r="I38" s="99"/>
      <c r="J38" s="99"/>
      <c r="K38" s="100"/>
      <c r="S38" s="87"/>
      <c r="T38" s="94"/>
      <c r="U38" s="94"/>
    </row>
    <row r="39" spans="2:21" s="88" customFormat="1" ht="16.899999999999999" customHeight="1" x14ac:dyDescent="0.25">
      <c r="B39" s="99"/>
      <c r="C39" s="99" t="s">
        <v>14</v>
      </c>
      <c r="D39" s="99"/>
      <c r="E39" s="99"/>
      <c r="F39" s="99"/>
      <c r="G39" s="99"/>
      <c r="H39" s="99"/>
      <c r="I39" s="99"/>
      <c r="J39" s="99"/>
      <c r="K39" s="100"/>
      <c r="S39" s="87"/>
      <c r="T39" s="94"/>
      <c r="U39" s="94"/>
    </row>
    <row r="40" spans="2:21" s="88" customFormat="1" ht="16.899999999999999" customHeight="1" x14ac:dyDescent="0.25">
      <c r="B40" s="99"/>
      <c r="C40" s="99" t="s">
        <v>15</v>
      </c>
      <c r="D40" s="99"/>
      <c r="E40" s="99"/>
      <c r="F40" s="99"/>
      <c r="G40" s="99"/>
      <c r="H40" s="99"/>
      <c r="I40" s="99"/>
      <c r="J40" s="99"/>
      <c r="K40" s="100"/>
      <c r="S40" s="87"/>
      <c r="T40" s="94"/>
      <c r="U40" s="94"/>
    </row>
    <row r="41" spans="2:21" s="88" customFormat="1" ht="16.899999999999999" customHeight="1" x14ac:dyDescent="0.25">
      <c r="B41" s="99"/>
      <c r="C41" s="99"/>
      <c r="D41" s="99"/>
      <c r="E41" s="99"/>
      <c r="F41" s="99"/>
      <c r="G41" s="99"/>
      <c r="H41" s="99"/>
      <c r="I41" s="99"/>
      <c r="J41" s="99"/>
      <c r="K41" s="100"/>
      <c r="S41" s="87"/>
      <c r="T41" s="94"/>
      <c r="U41" s="94"/>
    </row>
    <row r="42" spans="2:21" s="88" customFormat="1" ht="16.899999999999999" customHeight="1" x14ac:dyDescent="0.25">
      <c r="B42" s="99"/>
      <c r="C42" s="99" t="s">
        <v>16</v>
      </c>
      <c r="D42" s="99"/>
      <c r="E42" s="99"/>
      <c r="F42" s="99"/>
      <c r="G42" s="99"/>
      <c r="H42" s="99"/>
      <c r="I42" s="99"/>
      <c r="J42" s="99"/>
      <c r="K42" s="100"/>
      <c r="S42" s="87"/>
      <c r="T42" s="94"/>
      <c r="U42" s="94"/>
    </row>
    <row r="43" spans="2:21" ht="15" customHeight="1" x14ac:dyDescent="0.25">
      <c r="B43" s="99"/>
      <c r="C43" s="99" t="s">
        <v>17</v>
      </c>
      <c r="D43" s="99"/>
      <c r="E43" s="99"/>
      <c r="F43" s="99"/>
      <c r="G43" s="99"/>
      <c r="H43" s="99"/>
      <c r="I43" s="99"/>
      <c r="J43" s="99"/>
      <c r="K43" s="100"/>
      <c r="L43" s="88"/>
      <c r="M43" s="88"/>
      <c r="N43" s="88"/>
      <c r="O43" s="88"/>
      <c r="P43" s="88"/>
      <c r="Q43" s="88"/>
      <c r="R43" s="88"/>
    </row>
    <row r="44" spans="2:21" ht="15" customHeight="1" x14ac:dyDescent="0.2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88"/>
      <c r="M44" s="88"/>
      <c r="N44" s="88"/>
      <c r="O44" s="88"/>
      <c r="P44" s="88"/>
      <c r="Q44" s="88"/>
      <c r="R44" s="88"/>
    </row>
    <row r="45" spans="2:21" ht="15" customHeight="1" x14ac:dyDescent="0.25">
      <c r="B45" s="100"/>
      <c r="C45" s="99" t="s">
        <v>73</v>
      </c>
      <c r="D45" s="99"/>
      <c r="E45" s="99"/>
      <c r="F45" s="99"/>
      <c r="G45" s="99"/>
      <c r="H45" s="99"/>
      <c r="I45" s="99"/>
      <c r="J45" s="99"/>
      <c r="K45" s="99"/>
      <c r="L45" s="88"/>
      <c r="M45" s="88"/>
      <c r="N45" s="88"/>
      <c r="O45" s="88"/>
      <c r="P45" s="88"/>
      <c r="Q45" s="88"/>
      <c r="R45" s="88"/>
    </row>
    <row r="46" spans="2:21" ht="15" customHeight="1" x14ac:dyDescent="0.25">
      <c r="B46" s="100"/>
      <c r="C46" s="99" t="s">
        <v>74</v>
      </c>
      <c r="D46" s="99"/>
      <c r="E46" s="99"/>
      <c r="F46" s="99"/>
      <c r="G46" s="99"/>
      <c r="H46" s="99"/>
      <c r="I46" s="99"/>
      <c r="J46" s="99"/>
      <c r="K46" s="99"/>
      <c r="L46" s="88"/>
      <c r="M46" s="88"/>
      <c r="N46" s="88"/>
      <c r="O46" s="88"/>
      <c r="P46" s="88"/>
      <c r="Q46" s="88"/>
      <c r="R46" s="88"/>
    </row>
    <row r="47" spans="2:21" ht="15" customHeight="1" x14ac:dyDescent="0.25">
      <c r="B47" s="100"/>
      <c r="C47" s="99" t="s">
        <v>75</v>
      </c>
      <c r="D47" s="99"/>
      <c r="E47" s="99"/>
      <c r="F47" s="99"/>
      <c r="G47" s="99"/>
      <c r="H47" s="99"/>
      <c r="I47" s="99"/>
      <c r="J47" s="99"/>
      <c r="K47" s="99"/>
      <c r="L47" s="88"/>
      <c r="M47" s="88"/>
      <c r="N47" s="88"/>
      <c r="O47" s="88"/>
      <c r="P47" s="88"/>
      <c r="Q47" s="88"/>
      <c r="R47" s="88"/>
    </row>
    <row r="48" spans="2:21" ht="15" customHeight="1" x14ac:dyDescent="0.25">
      <c r="B48" s="100"/>
      <c r="C48" s="99"/>
      <c r="D48" s="99"/>
      <c r="E48" s="99"/>
      <c r="F48" s="99"/>
      <c r="G48" s="99"/>
      <c r="H48" s="99"/>
      <c r="I48" s="99"/>
      <c r="J48" s="99"/>
      <c r="K48" s="99"/>
      <c r="L48" s="88"/>
      <c r="M48" s="88"/>
      <c r="N48" s="88"/>
      <c r="O48" s="88"/>
      <c r="P48" s="88"/>
      <c r="Q48" s="88"/>
      <c r="R48" s="88"/>
    </row>
    <row r="49" spans="2:21" ht="15" customHeight="1" x14ac:dyDescent="0.25">
      <c r="B49" s="100"/>
      <c r="C49" s="99" t="s">
        <v>76</v>
      </c>
      <c r="D49" s="99"/>
      <c r="E49" s="99"/>
      <c r="F49" s="99"/>
      <c r="G49" s="99"/>
      <c r="H49" s="99"/>
      <c r="I49" s="99"/>
      <c r="J49" s="99"/>
      <c r="K49" s="99"/>
      <c r="L49" s="88"/>
      <c r="M49" s="88"/>
      <c r="N49" s="88"/>
      <c r="O49" s="88"/>
      <c r="P49" s="88"/>
      <c r="Q49" s="88"/>
      <c r="R49" s="88"/>
    </row>
    <row r="50" spans="2:21" ht="15" customHeight="1" x14ac:dyDescent="0.25">
      <c r="B50" s="100"/>
      <c r="C50" s="99" t="s">
        <v>77</v>
      </c>
      <c r="D50" s="99"/>
      <c r="E50" s="99"/>
      <c r="F50" s="99"/>
      <c r="G50" s="99"/>
      <c r="H50" s="99"/>
      <c r="I50" s="99"/>
      <c r="J50" s="99"/>
      <c r="K50" s="100"/>
    </row>
    <row r="51" spans="2:21" ht="15" customHeight="1" x14ac:dyDescent="0.25">
      <c r="B51" s="100"/>
      <c r="C51" s="99" t="s">
        <v>52</v>
      </c>
      <c r="D51" s="99"/>
      <c r="E51" s="99"/>
      <c r="F51" s="99"/>
      <c r="G51" s="99"/>
      <c r="H51" s="99"/>
      <c r="I51" s="99"/>
      <c r="J51" s="99"/>
      <c r="K51" s="100"/>
    </row>
    <row r="52" spans="2:21" ht="15" customHeight="1" x14ac:dyDescent="0.25">
      <c r="B52" s="100"/>
      <c r="C52" s="107" t="s">
        <v>78</v>
      </c>
      <c r="D52" s="107"/>
      <c r="E52" s="107"/>
      <c r="F52" s="107"/>
      <c r="G52" s="107"/>
      <c r="H52" s="107"/>
      <c r="I52" s="107"/>
      <c r="J52" s="107"/>
      <c r="K52" s="100"/>
      <c r="L52" s="111" t="s">
        <v>60</v>
      </c>
      <c r="M52" s="111"/>
      <c r="N52" s="111"/>
      <c r="O52" s="111"/>
      <c r="P52" s="111"/>
      <c r="Q52" s="111"/>
      <c r="R52" s="111"/>
    </row>
    <row r="53" spans="2:21" ht="15" customHeight="1" x14ac:dyDescent="0.25">
      <c r="B53" s="100"/>
      <c r="C53" s="107"/>
      <c r="D53" s="107"/>
      <c r="E53" s="107"/>
      <c r="F53" s="107"/>
      <c r="G53" s="107"/>
      <c r="H53" s="107"/>
      <c r="I53" s="107"/>
      <c r="J53" s="107"/>
      <c r="K53" s="100"/>
      <c r="L53" s="112" t="s">
        <v>61</v>
      </c>
      <c r="M53" s="112"/>
      <c r="N53" s="112"/>
      <c r="O53" s="112"/>
      <c r="P53" s="112"/>
      <c r="Q53" s="112"/>
      <c r="R53" s="112"/>
    </row>
    <row r="54" spans="2:21" ht="15" customHeight="1" x14ac:dyDescent="0.25"/>
    <row r="55" spans="2:21" s="12" customFormat="1" x14ac:dyDescent="0.25">
      <c r="T55" s="97"/>
      <c r="U55" s="97"/>
    </row>
    <row r="56" spans="2:21" hidden="1" x14ac:dyDescent="0.25"/>
    <row r="57" spans="2:21" hidden="1" x14ac:dyDescent="0.25"/>
    <row r="58" spans="2:21" hidden="1" x14ac:dyDescent="0.25"/>
    <row r="59" spans="2:21" hidden="1" x14ac:dyDescent="0.25"/>
  </sheetData>
  <sheetProtection password="D6C6" sheet="1" objects="1" scenarios="1"/>
  <mergeCells count="5">
    <mergeCell ref="L52:R52"/>
    <mergeCell ref="L53:R53"/>
    <mergeCell ref="AE21:AG22"/>
    <mergeCell ref="L36:R36"/>
    <mergeCell ref="L20:R20"/>
  </mergeCells>
  <dataValidations count="2">
    <dataValidation type="decimal" allowBlank="1" showInputMessage="1" showErrorMessage="1" errorTitle="Values restricted" error="Please enter values between 30 and 60 only." sqref="C6:C15 E6:E15">
      <formula1>30</formula1>
      <formula2>60</formula2>
    </dataValidation>
    <dataValidation type="decimal" allowBlank="1" showInputMessage="1" showErrorMessage="1" errorTitle="Values Restricted" error="Please enter values between 0 and 180 only." sqref="D6:D15">
      <formula1>0</formula1>
      <formula2>180</formula2>
    </dataValidation>
  </dataValidations>
  <hyperlinks>
    <hyperlink ref="L20:Q20" r:id="rId1" tooltip="Read about Dynamic IOL Optimization - the easiest way to improve your IOL power calculations." display="Click here to read about DIO   ↓"/>
    <hyperlink ref="L36:Q36" r:id="rId2" tooltip="Interested in astigmatism analysis? Read THE book." display="Click here to purchase the e-book   ↓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Average Keratometry Calculator 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Keratometry Calculator</dc:title>
  <dc:creator>Dr. Saurabh Sawhney; Dr. Ashima Aggarwal</dc:creator>
  <dc:description>Freeware</dc:description>
  <cp:lastModifiedBy/>
  <dcterms:created xsi:type="dcterms:W3CDTF">2006-09-16T00:00:00Z</dcterms:created>
  <dcterms:modified xsi:type="dcterms:W3CDTF">2016-06-13T05:58:28Z</dcterms:modified>
  <cp:category>Ophthalmology; Ophthalmic Calculator</cp:category>
  <cp:version>1.1.2016.06.14</cp:version>
</cp:coreProperties>
</file>